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45" windowWidth="10890" windowHeight="11730" tabRatio="867" activeTab="1"/>
  </bookViews>
  <sheets>
    <sheet name="ШИ Уэлен" sheetId="1" r:id="rId1"/>
    <sheet name="МЦП и пр." sheetId="2" r:id="rId2"/>
  </sheets>
  <definedNames>
    <definedName name="_xlnm.Print_Area" localSheetId="0">'ШИ Уэлен'!$A$1:$AP$64</definedName>
  </definedNames>
  <calcPr fullCalcOnLoad="1" refMode="R1C1"/>
</workbook>
</file>

<file path=xl/sharedStrings.xml><?xml version="1.0" encoding="utf-8"?>
<sst xmlns="http://schemas.openxmlformats.org/spreadsheetml/2006/main" count="127" uniqueCount="104">
  <si>
    <t>Наименование статей экономической классификации</t>
  </si>
  <si>
    <t>Код</t>
  </si>
  <si>
    <t>Лимиты год</t>
  </si>
  <si>
    <t>Остаток 1 квартал</t>
  </si>
  <si>
    <t>Исполнение 1 квартал</t>
  </si>
  <si>
    <t>Лимиты 2 квартал</t>
  </si>
  <si>
    <t>Остаток 2 квартал</t>
  </si>
  <si>
    <t>Исполнение 2 квартал</t>
  </si>
  <si>
    <t>Лимиты 3 квартал</t>
  </si>
  <si>
    <t>Остаток 3 квартал</t>
  </si>
  <si>
    <t>Исполнение 3 квартал</t>
  </si>
  <si>
    <t>Лимиты 4 квартал</t>
  </si>
  <si>
    <t>Остаток 4 квартал</t>
  </si>
  <si>
    <t>Исполнение 4 квартал</t>
  </si>
  <si>
    <t>Исполнение, руб</t>
  </si>
  <si>
    <t>Исполнение, %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</si>
  <si>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</si>
  <si>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</si>
  <si>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</si>
  <si>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</si>
  <si>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ИТОГО РАСХОДОВ</t>
  </si>
  <si>
    <t>Налоговые платежи</t>
  </si>
  <si>
    <t>Льгота ЖКХ</t>
  </si>
  <si>
    <t>ВСЕГО расходов</t>
  </si>
  <si>
    <t>КВР 244</t>
  </si>
  <si>
    <t>КВР 119</t>
  </si>
  <si>
    <t>КВР 111</t>
  </si>
  <si>
    <t>КВР 851</t>
  </si>
  <si>
    <t>КВР 852</t>
  </si>
  <si>
    <t>КВР 853</t>
  </si>
  <si>
    <t>808 0702 03 П 01 С9903 611</t>
  </si>
  <si>
    <t>ИТОГО РАСХОДОВ С9903</t>
  </si>
  <si>
    <t>808 0702 03 П 01 М9903 611</t>
  </si>
  <si>
    <t>ИТОГО РАСХОДОВ М9903</t>
  </si>
  <si>
    <t>ИТОГО РАСХОДОВ 9903</t>
  </si>
  <si>
    <t>МБОУ "Школа-интернат СОО с.Уэлен"</t>
  </si>
  <si>
    <t>По МЦП и Прочим</t>
  </si>
  <si>
    <t>ши Уэлен</t>
  </si>
  <si>
    <t>КВР 852 или 244</t>
  </si>
  <si>
    <t>Уплата пошлин и штрафов, прочие расходы</t>
  </si>
  <si>
    <r>
      <t xml:space="preserve">Подпрограмма "Молодежная политика и организация труда, развития, отдыха и оздоровления детей и подростков на 2017-2019 годы": </t>
    </r>
    <r>
      <rPr>
        <sz val="11"/>
        <rFont val="Tahoma"/>
        <family val="2"/>
      </rPr>
      <t>Организация труда, развития, отдыха и оздоровления детей и подростков в муниципальном образовании Чукотский муниципальный район</t>
    </r>
  </si>
  <si>
    <t>МП "Развитие образования в муниципальном образовании Чукотский муниципальный район на 2017-2019 годы"</t>
  </si>
  <si>
    <t>Подпрограмма "Укрепление материально-технической базы и безопасности учреждений образования муниципального образования Чукотский муниципальный район на 2017-2019 годы"</t>
  </si>
  <si>
    <t>23.12.2018(1)</t>
  </si>
  <si>
    <t>23.12.2018(2)</t>
  </si>
  <si>
    <t>23.12.2018(3)</t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</si>
  <si>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0707 03 1 01 4215Д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19005</t>
    </r>
  </si>
  <si>
    <t>Имущество и земельный налог</t>
  </si>
  <si>
    <t>Уплата пошлин и штрафов, пени</t>
  </si>
  <si>
    <r>
      <t>Прочие несоциальные выплаты персоналу в денежной форме</t>
    </r>
    <r>
      <rPr>
        <b/>
        <sz val="11"/>
        <color indexed="63"/>
        <rFont val="Tahoma"/>
        <family val="2"/>
      </rPr>
      <t xml:space="preserve"> суточные</t>
    </r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</si>
  <si>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проезд в отпуск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</si>
  <si>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 xml:space="preserve">компенсация стоимости проезда 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</si>
  <si>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>компенсация стоимости  проживания в командировке</t>
    </r>
  </si>
  <si>
    <t>КВР 112 приказы</t>
  </si>
  <si>
    <r>
      <t xml:space="preserve">Пособия по социальной помощи, выплачиваемые работодателями, нанимателями бывшим работникам в натуральной форме </t>
    </r>
    <r>
      <rPr>
        <b/>
        <sz val="14"/>
        <color indexed="56"/>
        <rFont val="Calibri"/>
        <family val="2"/>
      </rPr>
      <t>уволенным</t>
    </r>
  </si>
  <si>
    <r>
      <t xml:space="preserve">Транспортные услуги </t>
    </r>
    <r>
      <rPr>
        <b/>
        <sz val="14"/>
        <color indexed="56"/>
        <rFont val="Calibri"/>
        <family val="2"/>
      </rPr>
      <t>учебный отпуск</t>
    </r>
  </si>
  <si>
    <t>Работы, услуги по содержанию имущества</t>
  </si>
  <si>
    <t>Страхование</t>
  </si>
  <si>
    <t xml:space="preserve">Услуги, работы для целей капитальных вложений </t>
  </si>
  <si>
    <r>
      <t xml:space="preserve">Увеличение стоимости основных средств </t>
    </r>
    <r>
      <rPr>
        <b/>
        <sz val="11"/>
        <color indexed="63"/>
        <rFont val="Tahoma"/>
        <family val="2"/>
      </rPr>
      <t>книги</t>
    </r>
  </si>
  <si>
    <t>Увеличение стоимости лекарственных препаратов и материалов, применяемых в медицинских целях</t>
  </si>
  <si>
    <r>
      <t xml:space="preserve">Увеличение стоимости продуктов питания </t>
    </r>
    <r>
      <rPr>
        <b/>
        <sz val="10"/>
        <color indexed="63"/>
        <rFont val="Tahoma"/>
        <family val="2"/>
      </rPr>
      <t>Продукты питания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</si>
  <si>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ТЕПЛО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</si>
  <si>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ЭЛЕКТРО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</si>
  <si>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ВОДА, ЖБО</t>
    </r>
  </si>
  <si>
    <r>
      <t xml:space="preserve">Работы, услуги по содержанию имущества                                      </t>
    </r>
    <r>
      <rPr>
        <b/>
        <sz val="10"/>
        <color indexed="63"/>
        <rFont val="Tahoma"/>
        <family val="2"/>
      </rPr>
      <t>ДЕРАТИЗ. И ДЕЗИНСЕКЦИЯ, БАК. ИССЛЕДОВАНИЯ</t>
    </r>
  </si>
  <si>
    <r>
      <t xml:space="preserve">Увеличение стоимости продуктов питания                                             </t>
    </r>
    <r>
      <rPr>
        <b/>
        <sz val="10"/>
        <color indexed="63"/>
        <rFont val="Tahoma"/>
        <family val="2"/>
      </rPr>
      <t>Молочная продукция и мясо оленя</t>
    </r>
  </si>
  <si>
    <r>
      <t xml:space="preserve">Увеличение стоимости основных средств                               </t>
    </r>
    <r>
      <rPr>
        <b/>
        <sz val="11"/>
        <color indexed="63"/>
        <rFont val="Tahoma"/>
        <family val="2"/>
      </rPr>
      <t>оборудование, мебель</t>
    </r>
  </si>
  <si>
    <r>
      <t xml:space="preserve">Прочие услуги </t>
    </r>
    <r>
      <rPr>
        <b/>
        <sz val="10"/>
        <color indexed="63"/>
        <rFont val="Tahoma"/>
        <family val="2"/>
      </rPr>
      <t>медосмотры</t>
    </r>
  </si>
  <si>
    <r>
      <t xml:space="preserve">Увеличение стоимости горюче-смазочных материалов </t>
    </r>
    <r>
      <rPr>
        <b/>
        <sz val="10"/>
        <color indexed="63"/>
        <rFont val="Tahoma"/>
        <family val="2"/>
      </rPr>
      <t>Бензин</t>
    </r>
  </si>
  <si>
    <t>Увеличение стоимости мягкого инвентаря</t>
  </si>
  <si>
    <r>
      <t xml:space="preserve">Увеличение стоимости прочих оборотных запасов (материалов) </t>
    </r>
    <r>
      <rPr>
        <b/>
        <sz val="11"/>
        <color indexed="63"/>
        <rFont val="Tahoma"/>
        <family val="2"/>
      </rPr>
      <t>расходные материалы</t>
    </r>
  </si>
  <si>
    <r>
      <t xml:space="preserve">Прочие услуги </t>
    </r>
    <r>
      <rPr>
        <b/>
        <sz val="10"/>
        <color indexed="63"/>
        <rFont val="Tahoma"/>
        <family val="2"/>
      </rPr>
      <t>все остальное (обучение, подписка и т.д.)</t>
    </r>
  </si>
  <si>
    <t xml:space="preserve">Прочие услуги </t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</si>
  <si>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подъемные</t>
    </r>
  </si>
  <si>
    <r>
      <t xml:space="preserve">Публичные обязательства-САДЫ </t>
    </r>
    <r>
      <rPr>
        <b/>
        <sz val="12"/>
        <color indexed="56"/>
        <rFont val="Tahoma"/>
        <family val="2"/>
      </rPr>
      <t>КВР 112</t>
    </r>
  </si>
  <si>
    <r>
      <t xml:space="preserve">Работы, услуги по содержанию имущества </t>
    </r>
    <r>
      <rPr>
        <b/>
        <sz val="10"/>
        <color indexed="63"/>
        <rFont val="Tahoma"/>
        <family val="2"/>
      </rPr>
      <t>ПОЖ.СИГНАЛ.</t>
    </r>
  </si>
  <si>
    <r>
      <t xml:space="preserve">808 0702 03 П 01 10110 612  </t>
    </r>
    <r>
      <rPr>
        <sz val="14"/>
        <color indexed="14"/>
        <rFont val="Tahoma"/>
        <family val="2"/>
      </rPr>
      <t>19003</t>
    </r>
  </si>
  <si>
    <r>
      <t xml:space="preserve"> 808 0701 03 П 01 43050 612  </t>
    </r>
    <r>
      <rPr>
        <sz val="14"/>
        <color indexed="14"/>
        <rFont val="Tahoma"/>
        <family val="2"/>
      </rPr>
      <t>19004</t>
    </r>
  </si>
  <si>
    <t xml:space="preserve">Закупка по 44-фз СГОЗ </t>
  </si>
  <si>
    <t>до 400 т.р.</t>
  </si>
  <si>
    <t>15% СМП</t>
  </si>
  <si>
    <t>единиственный поставщик</t>
  </si>
  <si>
    <t>аукционы и котировки</t>
  </si>
  <si>
    <t>Провести закупки конкур. Способом</t>
  </si>
  <si>
    <t>ИТОГО ЗАКУПКИ ПО 44-ФЗ проверка</t>
  </si>
  <si>
    <t xml:space="preserve">остаток на 400 тыс </t>
  </si>
  <si>
    <t xml:space="preserve">если превышает 50 % (минус в строке), проводить закупки </t>
  </si>
  <si>
    <r>
      <t>Увеличение стоимости прочих материальных запасов однократного применения</t>
    </r>
    <r>
      <rPr>
        <b/>
        <sz val="9"/>
        <color indexed="63"/>
        <rFont val="Tahoma"/>
        <family val="2"/>
      </rPr>
      <t xml:space="preserve"> (бланки строгой отчетности)</t>
    </r>
  </si>
  <si>
    <r>
      <t xml:space="preserve">Увеличение стоимости права пользования </t>
    </r>
    <r>
      <rPr>
        <b/>
        <sz val="11"/>
        <color indexed="63"/>
        <rFont val="Tahoma"/>
        <family val="2"/>
      </rPr>
      <t>лицензия на ПО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</si>
  <si>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ТКО</t>
    </r>
  </si>
  <si>
    <r>
      <t xml:space="preserve">808 0702 03 П 01 10120 612  </t>
    </r>
    <r>
      <rPr>
        <sz val="14"/>
        <color indexed="60"/>
        <rFont val="Tahoma"/>
        <family val="2"/>
      </rPr>
      <t>19016</t>
    </r>
  </si>
  <si>
    <r>
      <t xml:space="preserve">Прочие несоциальные выплаты персоналу в натуральной форме </t>
    </r>
    <r>
      <rPr>
        <b/>
        <sz val="14"/>
        <color indexed="56"/>
        <rFont val="Calibri"/>
        <family val="2"/>
      </rPr>
      <t>вновь принятым</t>
    </r>
  </si>
  <si>
    <t>ПРОВЕРКА</t>
  </si>
  <si>
    <t>на конкурентные</t>
  </si>
  <si>
    <r>
      <t xml:space="preserve">ПЛАН-ГРАФИК (информация для отслеживания закупок) </t>
    </r>
    <r>
      <rPr>
        <b/>
        <sz val="14"/>
        <color indexed="10"/>
        <rFont val="Calibri"/>
        <family val="2"/>
      </rPr>
      <t>добавлять ЦС по МП, если будут расходы</t>
    </r>
  </si>
  <si>
    <t>Социальные пособия и компенсации персоналу в денежной форме</t>
  </si>
  <si>
    <r>
      <t xml:space="preserve">Проведение работ по промывке систем отопления в образовательных учреждениях                                                     </t>
    </r>
    <r>
      <rPr>
        <sz val="8.5"/>
        <color indexed="13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808 0702 03 4 04 80170 612</t>
    </r>
    <r>
      <rPr>
        <b/>
        <sz val="10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 xml:space="preserve">19026 </t>
    </r>
  </si>
  <si>
    <r>
      <t xml:space="preserve">Проведение работ по ремонту систем отопления в образовательных учреждениях                                                              </t>
    </r>
    <r>
      <rPr>
        <b/>
        <sz val="10"/>
        <color indexed="13"/>
        <rFont val="Tahoma"/>
        <family val="2"/>
      </rPr>
      <t xml:space="preserve">808 0702 03 4 04 80180 612 </t>
    </r>
    <r>
      <rPr>
        <b/>
        <sz val="10"/>
        <color indexed="14"/>
        <rFont val="Tahoma"/>
        <family val="2"/>
      </rPr>
      <t xml:space="preserve">19029 </t>
    </r>
  </si>
  <si>
    <r>
      <t xml:space="preserve">Проведение ремонтных работ в МБОУ «Школа – интернат среднего общего образования с.Уэлен» за счет средств окружного бюджета                                                                           </t>
    </r>
    <r>
      <rPr>
        <b/>
        <sz val="10"/>
        <color indexed="13"/>
        <rFont val="Tahoma"/>
        <family val="2"/>
      </rPr>
      <t xml:space="preserve">808 0702 03 4 01 4227Д 612 </t>
    </r>
    <r>
      <rPr>
        <sz val="8.5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19037</t>
    </r>
  </si>
  <si>
    <r>
      <t xml:space="preserve">Софинансирование на проведение ремонтных работ в МБОУ «Школа – интернат среднего общего образования с.Уэлен»       </t>
    </r>
    <r>
      <rPr>
        <b/>
        <sz val="10"/>
        <color indexed="13"/>
        <rFont val="Tahoma"/>
        <family val="2"/>
      </rPr>
      <t>808 0702 03 4 01 S227Д 612</t>
    </r>
    <r>
      <rPr>
        <sz val="8.5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19038</t>
    </r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</si>
  <si>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за </t>
    </r>
    <r>
      <rPr>
        <sz val="8.5"/>
        <rFont val="Tahoma"/>
        <family val="2"/>
      </rPr>
      <t>счет средств местного бюджета</t>
    </r>
    <r>
      <rPr>
        <sz val="9"/>
        <rFont val="Tahoma"/>
        <family val="2"/>
      </rPr>
      <t xml:space="preserve">                                        </t>
    </r>
    <r>
      <rPr>
        <b/>
        <sz val="10"/>
        <color indexed="13"/>
        <rFont val="Tahoma"/>
        <family val="2"/>
      </rPr>
      <t>808 0707 03 1 01 S215Д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19006</t>
    </r>
  </si>
  <si>
    <t xml:space="preserve">Увеличение стоимости основных средств ДИЗ.ГЕНЕРАТОР </t>
  </si>
  <si>
    <t>Иные выплаты текущего характера физическим лицам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</si>
</sst>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_ ;\-0\ "/>
    <numFmt numFmtId="175" formatCode="00000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mmm/yyyy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#,##0.00_ ;\-#,##0.00\ "/>
    <numFmt numFmtId="192" formatCode="#,##0.00\ &quot;₽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4"/>
      <name val="Tahoma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sz val="10"/>
      <name val="Tahoma"/>
      <family val="2"/>
    </font>
    <font>
      <b/>
      <sz val="9"/>
      <name val="Calibri"/>
      <family val="2"/>
    </font>
    <font>
      <sz val="12"/>
      <color indexed="56"/>
      <name val="Tahoma"/>
      <family val="2"/>
    </font>
    <font>
      <b/>
      <sz val="9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6"/>
      <name val="Tahoma"/>
      <family val="2"/>
    </font>
    <font>
      <sz val="14"/>
      <color indexed="14"/>
      <name val="Tahoma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b/>
      <sz val="14"/>
      <name val="Calibri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9"/>
      <color indexed="10"/>
      <name val="Calibri"/>
      <family val="2"/>
    </font>
    <font>
      <b/>
      <sz val="12"/>
      <color indexed="13"/>
      <name val="Tahoma"/>
      <family val="2"/>
    </font>
    <font>
      <sz val="9"/>
      <color indexed="13"/>
      <name val="Calibri"/>
      <family val="2"/>
    </font>
    <font>
      <sz val="11"/>
      <color indexed="13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3"/>
      <name val="Tahoma"/>
      <family val="2"/>
    </font>
    <font>
      <b/>
      <sz val="10"/>
      <color indexed="14"/>
      <name val="Tahoma"/>
      <family val="2"/>
    </font>
    <font>
      <sz val="8.5"/>
      <color indexed="13"/>
      <name val="Tahoma"/>
      <family val="2"/>
    </font>
    <font>
      <b/>
      <sz val="10"/>
      <color indexed="63"/>
      <name val="Tahoma"/>
      <family val="2"/>
    </font>
    <font>
      <b/>
      <sz val="11"/>
      <color indexed="63"/>
      <name val="Tahoma"/>
      <family val="2"/>
    </font>
    <font>
      <b/>
      <sz val="14"/>
      <color indexed="56"/>
      <name val="Calibri"/>
      <family val="2"/>
    </font>
    <font>
      <sz val="14"/>
      <color indexed="60"/>
      <name val="Tahoma"/>
      <family val="2"/>
    </font>
    <font>
      <b/>
      <sz val="12"/>
      <color indexed="56"/>
      <name val="Tahoma"/>
      <family val="2"/>
    </font>
    <font>
      <b/>
      <sz val="9"/>
      <color indexed="63"/>
      <name val="Tahoma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9"/>
      <color indexed="14"/>
      <name val="Calibri"/>
      <family val="2"/>
    </font>
    <font>
      <sz val="8.5"/>
      <color indexed="36"/>
      <name val="Tahoma"/>
      <family val="2"/>
    </font>
    <font>
      <b/>
      <sz val="8.5"/>
      <color indexed="36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sz val="9"/>
      <color rgb="FFFF33CC"/>
      <name val="Calibri"/>
      <family val="2"/>
    </font>
    <font>
      <b/>
      <sz val="10"/>
      <color theme="1"/>
      <name val="Calibri"/>
      <family val="2"/>
    </font>
    <font>
      <sz val="8.5"/>
      <color rgb="FF7030A0"/>
      <name val="Tahoma"/>
      <family val="2"/>
    </font>
    <font>
      <b/>
      <sz val="8.5"/>
      <color rgb="FF7030A0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800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53" applyFill="1">
      <alignment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14" fontId="0" fillId="0" borderId="10" xfId="53" applyNumberFormat="1" applyBorder="1" applyAlignment="1">
      <alignment vertical="center" wrapText="1"/>
      <protection/>
    </xf>
    <xf numFmtId="14" fontId="4" fillId="0" borderId="10" xfId="53" applyNumberFormat="1" applyFont="1" applyBorder="1" applyAlignment="1">
      <alignment vertical="center" wrapText="1"/>
      <protection/>
    </xf>
    <xf numFmtId="14" fontId="4" fillId="33" borderId="10" xfId="53" applyNumberFormat="1" applyFont="1" applyFill="1" applyBorder="1" applyAlignment="1">
      <alignment vertical="center" wrapText="1"/>
      <protection/>
    </xf>
    <xf numFmtId="14" fontId="0" fillId="34" borderId="10" xfId="53" applyNumberFormat="1" applyFill="1" applyBorder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0" borderId="0" xfId="53" applyFont="1" applyFill="1" applyAlignment="1">
      <alignment wrapText="1"/>
      <protection/>
    </xf>
    <xf numFmtId="14" fontId="11" fillId="0" borderId="0" xfId="53" applyNumberFormat="1" applyFont="1" applyFill="1" applyAlignment="1">
      <alignment wrapText="1"/>
      <protection/>
    </xf>
    <xf numFmtId="14" fontId="12" fillId="0" borderId="0" xfId="53" applyNumberFormat="1" applyFont="1" applyFill="1" applyAlignment="1">
      <alignment wrapText="1"/>
      <protection/>
    </xf>
    <xf numFmtId="173" fontId="13" fillId="0" borderId="0" xfId="69" applyFont="1" applyFill="1" applyAlignment="1">
      <alignment wrapText="1"/>
    </xf>
    <xf numFmtId="14" fontId="14" fillId="0" borderId="0" xfId="53" applyNumberFormat="1" applyFont="1" applyFill="1" applyAlignment="1">
      <alignment wrapText="1"/>
      <protection/>
    </xf>
    <xf numFmtId="0" fontId="11" fillId="0" borderId="0" xfId="53" applyFont="1" applyFill="1" applyAlignment="1">
      <alignment wrapText="1"/>
      <protection/>
    </xf>
    <xf numFmtId="173" fontId="15" fillId="34" borderId="0" xfId="69" applyFont="1" applyFill="1" applyAlignment="1">
      <alignment/>
    </xf>
    <xf numFmtId="173" fontId="16" fillId="0" borderId="0" xfId="69" applyFont="1" applyAlignment="1">
      <alignment/>
    </xf>
    <xf numFmtId="173" fontId="13" fillId="0" borderId="0" xfId="69" applyFont="1" applyAlignment="1">
      <alignment/>
    </xf>
    <xf numFmtId="173" fontId="13" fillId="33" borderId="0" xfId="69" applyFont="1" applyFill="1" applyAlignment="1">
      <alignment/>
    </xf>
    <xf numFmtId="173" fontId="16" fillId="34" borderId="0" xfId="69" applyFont="1" applyFill="1" applyAlignment="1">
      <alignment/>
    </xf>
    <xf numFmtId="173" fontId="17" fillId="0" borderId="0" xfId="69" applyFont="1" applyAlignment="1">
      <alignment/>
    </xf>
    <xf numFmtId="173" fontId="3" fillId="0" borderId="0" xfId="53" applyNumberFormat="1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173" fontId="12" fillId="0" borderId="0" xfId="69" applyFont="1" applyFill="1" applyAlignment="1">
      <alignment wrapText="1"/>
    </xf>
    <xf numFmtId="173" fontId="11" fillId="0" borderId="0" xfId="53" applyNumberFormat="1" applyFont="1" applyFill="1" applyAlignment="1">
      <alignment wrapText="1"/>
      <protection/>
    </xf>
    <xf numFmtId="0" fontId="5" fillId="35" borderId="11" xfId="53" applyFont="1" applyFill="1" applyBorder="1">
      <alignment/>
      <protection/>
    </xf>
    <xf numFmtId="0" fontId="23" fillId="36" borderId="0" xfId="53" applyFont="1" applyFill="1">
      <alignment/>
      <protection/>
    </xf>
    <xf numFmtId="0" fontId="9" fillId="36" borderId="0" xfId="53" applyFont="1" applyFill="1">
      <alignment/>
      <protection/>
    </xf>
    <xf numFmtId="0" fontId="4" fillId="36" borderId="0" xfId="53" applyFont="1" applyFill="1">
      <alignment/>
      <protection/>
    </xf>
    <xf numFmtId="173" fontId="9" fillId="36" borderId="0" xfId="53" applyNumberFormat="1" applyFont="1" applyFill="1">
      <alignment/>
      <protection/>
    </xf>
    <xf numFmtId="0" fontId="9" fillId="36" borderId="0" xfId="53" applyNumberFormat="1" applyFont="1" applyFill="1">
      <alignment/>
      <protection/>
    </xf>
    <xf numFmtId="0" fontId="26" fillId="36" borderId="10" xfId="53" applyFont="1" applyFill="1" applyBorder="1">
      <alignment/>
      <protection/>
    </xf>
    <xf numFmtId="0" fontId="27" fillId="36" borderId="10" xfId="53" applyFont="1" applyFill="1" applyBorder="1">
      <alignment/>
      <protection/>
    </xf>
    <xf numFmtId="173" fontId="27" fillId="36" borderId="11" xfId="69" applyFont="1" applyFill="1" applyBorder="1" applyAlignment="1">
      <alignment/>
    </xf>
    <xf numFmtId="173" fontId="29" fillId="36" borderId="11" xfId="69" applyFont="1" applyFill="1" applyBorder="1" applyAlignment="1">
      <alignment/>
    </xf>
    <xf numFmtId="0" fontId="26" fillId="36" borderId="11" xfId="53" applyFont="1" applyFill="1" applyBorder="1">
      <alignment/>
      <protection/>
    </xf>
    <xf numFmtId="173" fontId="30" fillId="37" borderId="0" xfId="69" applyFont="1" applyFill="1" applyAlignment="1">
      <alignment/>
    </xf>
    <xf numFmtId="173" fontId="28" fillId="0" borderId="0" xfId="53" applyNumberFormat="1" applyFont="1" applyFill="1">
      <alignment/>
      <protection/>
    </xf>
    <xf numFmtId="173" fontId="0" fillId="0" borderId="0" xfId="53" applyNumberFormat="1" applyFill="1">
      <alignment/>
      <protection/>
    </xf>
    <xf numFmtId="173" fontId="98" fillId="0" borderId="0" xfId="53" applyNumberFormat="1" applyFont="1" applyFill="1">
      <alignment/>
      <protection/>
    </xf>
    <xf numFmtId="0" fontId="5" fillId="0" borderId="0" xfId="53" applyFont="1" applyFill="1" applyBorder="1">
      <alignment/>
      <protection/>
    </xf>
    <xf numFmtId="173" fontId="5" fillId="0" borderId="0" xfId="53" applyNumberFormat="1" applyFont="1" applyFill="1" applyBorder="1">
      <alignment/>
      <protection/>
    </xf>
    <xf numFmtId="0" fontId="0" fillId="0" borderId="0" xfId="53" applyFill="1" applyAlignment="1">
      <alignment horizontal="right"/>
      <protection/>
    </xf>
    <xf numFmtId="173" fontId="0" fillId="0" borderId="0" xfId="53" applyNumberFormat="1" applyFill="1" applyAlignment="1">
      <alignment horizontal="right"/>
      <protection/>
    </xf>
    <xf numFmtId="0" fontId="99" fillId="0" borderId="0" xfId="53" applyFont="1" applyFill="1" applyAlignment="1">
      <alignment horizontal="right"/>
      <protection/>
    </xf>
    <xf numFmtId="0" fontId="99" fillId="0" borderId="0" xfId="53" applyFont="1" applyFill="1">
      <alignment/>
      <protection/>
    </xf>
    <xf numFmtId="173" fontId="99" fillId="0" borderId="0" xfId="53" applyNumberFormat="1" applyFont="1" applyFill="1">
      <alignment/>
      <protection/>
    </xf>
    <xf numFmtId="16" fontId="100" fillId="0" borderId="0" xfId="53" applyNumberFormat="1" applyFont="1" applyFill="1">
      <alignment/>
      <protection/>
    </xf>
    <xf numFmtId="16" fontId="100" fillId="0" borderId="0" xfId="53" applyNumberFormat="1" applyFont="1">
      <alignment/>
      <protection/>
    </xf>
    <xf numFmtId="173" fontId="98" fillId="0" borderId="0" xfId="53" applyNumberFormat="1" applyFont="1">
      <alignment/>
      <protection/>
    </xf>
    <xf numFmtId="0" fontId="4" fillId="0" borderId="0" xfId="53" applyFont="1">
      <alignment/>
      <protection/>
    </xf>
    <xf numFmtId="173" fontId="5" fillId="0" borderId="0" xfId="53" applyNumberFormat="1" applyFont="1" applyBorder="1">
      <alignment/>
      <protection/>
    </xf>
    <xf numFmtId="0" fontId="5" fillId="0" borderId="0" xfId="53" applyFont="1" applyBorder="1">
      <alignment/>
      <protection/>
    </xf>
    <xf numFmtId="16" fontId="98" fillId="0" borderId="0" xfId="53" applyNumberFormat="1" applyFont="1">
      <alignment/>
      <protection/>
    </xf>
    <xf numFmtId="0" fontId="5" fillId="0" borderId="0" xfId="53" applyFont="1">
      <alignment/>
      <protection/>
    </xf>
    <xf numFmtId="173" fontId="100" fillId="0" borderId="0" xfId="69" applyFont="1" applyAlignment="1">
      <alignment/>
    </xf>
    <xf numFmtId="0" fontId="98" fillId="0" borderId="0" xfId="53" applyFont="1" applyAlignment="1">
      <alignment horizontal="right"/>
      <protection/>
    </xf>
    <xf numFmtId="173" fontId="98" fillId="0" borderId="0" xfId="69" applyFont="1" applyAlignment="1">
      <alignment/>
    </xf>
    <xf numFmtId="173" fontId="100" fillId="0" borderId="0" xfId="53" applyNumberFormat="1" applyFont="1">
      <alignment/>
      <protection/>
    </xf>
    <xf numFmtId="0" fontId="98" fillId="0" borderId="0" xfId="53" applyFont="1">
      <alignment/>
      <protection/>
    </xf>
    <xf numFmtId="173" fontId="100" fillId="0" borderId="0" xfId="53" applyNumberFormat="1" applyFont="1" applyAlignment="1">
      <alignment horizontal="right"/>
      <protection/>
    </xf>
    <xf numFmtId="16" fontId="98" fillId="0" borderId="0" xfId="53" applyNumberFormat="1" applyFont="1" applyAlignment="1">
      <alignment horizontal="right"/>
      <protection/>
    </xf>
    <xf numFmtId="173" fontId="16" fillId="34" borderId="0" xfId="69" applyFont="1" applyFill="1" applyBorder="1" applyAlignment="1">
      <alignment/>
    </xf>
    <xf numFmtId="173" fontId="20" fillId="34" borderId="0" xfId="69" applyFont="1" applyFill="1" applyAlignment="1">
      <alignment/>
    </xf>
    <xf numFmtId="173" fontId="101" fillId="0" borderId="0" xfId="69" applyFont="1" applyAlignment="1">
      <alignment/>
    </xf>
    <xf numFmtId="173" fontId="15" fillId="34" borderId="0" xfId="69" applyFont="1" applyFill="1" applyAlignment="1">
      <alignment vertical="center"/>
    </xf>
    <xf numFmtId="173" fontId="16" fillId="0" borderId="0" xfId="69" applyFont="1" applyAlignment="1">
      <alignment vertical="center"/>
    </xf>
    <xf numFmtId="173" fontId="13" fillId="0" borderId="0" xfId="69" applyFont="1" applyAlignment="1">
      <alignment vertical="center"/>
    </xf>
    <xf numFmtId="173" fontId="13" fillId="33" borderId="0" xfId="69" applyFont="1" applyFill="1" applyAlignment="1">
      <alignment vertical="center"/>
    </xf>
    <xf numFmtId="173" fontId="16" fillId="34" borderId="0" xfId="69" applyFont="1" applyFill="1" applyAlignment="1">
      <alignment vertical="center"/>
    </xf>
    <xf numFmtId="173" fontId="16" fillId="0" borderId="0" xfId="69" applyFont="1" applyFill="1" applyAlignment="1">
      <alignment vertical="center"/>
    </xf>
    <xf numFmtId="173" fontId="17" fillId="0" borderId="0" xfId="69" applyFont="1" applyAlignment="1">
      <alignment vertical="center"/>
    </xf>
    <xf numFmtId="0" fontId="0" fillId="0" borderId="0" xfId="53" applyFill="1" applyAlignment="1">
      <alignment vertical="center"/>
      <protection/>
    </xf>
    <xf numFmtId="173" fontId="15" fillId="34" borderId="12" xfId="69" applyFont="1" applyFill="1" applyBorder="1" applyAlignment="1">
      <alignment vertical="center"/>
    </xf>
    <xf numFmtId="173" fontId="13" fillId="0" borderId="0" xfId="69" applyFont="1" applyFill="1" applyAlignment="1">
      <alignment vertical="center"/>
    </xf>
    <xf numFmtId="173" fontId="17" fillId="0" borderId="0" xfId="69" applyFont="1" applyFill="1" applyAlignment="1">
      <alignment vertical="center"/>
    </xf>
    <xf numFmtId="0" fontId="0" fillId="0" borderId="0" xfId="53" applyAlignment="1">
      <alignment vertical="center"/>
      <protection/>
    </xf>
    <xf numFmtId="49" fontId="34" fillId="38" borderId="13" xfId="54" applyNumberFormat="1" applyFont="1" applyFill="1" applyBorder="1" applyAlignment="1">
      <alignment horizontal="left" vertical="center" wrapText="1"/>
      <protection/>
    </xf>
    <xf numFmtId="49" fontId="19" fillId="38" borderId="14" xfId="54" applyNumberFormat="1" applyFont="1" applyFill="1" applyBorder="1" applyAlignment="1">
      <alignment horizontal="center" vertical="center" wrapText="1"/>
      <protection/>
    </xf>
    <xf numFmtId="173" fontId="33" fillId="38" borderId="15" xfId="53" applyNumberFormat="1" applyFont="1" applyFill="1" applyBorder="1" applyAlignment="1">
      <alignment vertical="center" wrapText="1"/>
      <protection/>
    </xf>
    <xf numFmtId="14" fontId="32" fillId="38" borderId="15" xfId="53" applyNumberFormat="1" applyFont="1" applyFill="1" applyBorder="1" applyAlignment="1">
      <alignment vertical="center" wrapText="1"/>
      <protection/>
    </xf>
    <xf numFmtId="14" fontId="28" fillId="38" borderId="15" xfId="53" applyNumberFormat="1" applyFont="1" applyFill="1" applyBorder="1" applyAlignment="1">
      <alignment vertical="center" wrapText="1"/>
      <protection/>
    </xf>
    <xf numFmtId="14" fontId="31" fillId="38" borderId="15" xfId="53" applyNumberFormat="1" applyFont="1" applyFill="1" applyBorder="1" applyAlignment="1">
      <alignment vertical="center" wrapText="1"/>
      <protection/>
    </xf>
    <xf numFmtId="0" fontId="32" fillId="38" borderId="0" xfId="53" applyFont="1" applyFill="1" applyAlignment="1">
      <alignment vertical="center" wrapText="1"/>
      <protection/>
    </xf>
    <xf numFmtId="174" fontId="35" fillId="0" borderId="16" xfId="54" applyNumberFormat="1" applyFont="1" applyFill="1" applyBorder="1" applyAlignment="1" applyProtection="1">
      <alignment vertical="center"/>
      <protection hidden="1" locked="0"/>
    </xf>
    <xf numFmtId="1" fontId="35" fillId="0" borderId="17" xfId="54" applyNumberFormat="1" applyFont="1" applyFill="1" applyBorder="1" applyAlignment="1" applyProtection="1">
      <alignment horizontal="center" vertical="center"/>
      <protection hidden="1" locked="0"/>
    </xf>
    <xf numFmtId="174" fontId="35" fillId="0" borderId="13" xfId="54" applyNumberFormat="1" applyFont="1" applyFill="1" applyBorder="1" applyAlignment="1" applyProtection="1">
      <alignment vertical="center"/>
      <protection hidden="1" locked="0"/>
    </xf>
    <xf numFmtId="1" fontId="35" fillId="0" borderId="10" xfId="54" applyNumberFormat="1" applyFont="1" applyFill="1" applyBorder="1" applyAlignment="1" applyProtection="1">
      <alignment horizontal="center" vertical="center"/>
      <protection hidden="1" locked="0"/>
    </xf>
    <xf numFmtId="1" fontId="36" fillId="39" borderId="10" xfId="57" applyNumberFormat="1" applyFont="1" applyFill="1" applyBorder="1" applyAlignment="1" applyProtection="1">
      <alignment horizontal="center"/>
      <protection/>
    </xf>
    <xf numFmtId="0" fontId="36" fillId="39" borderId="13" xfId="57" applyFont="1" applyFill="1" applyBorder="1" applyAlignment="1" applyProtection="1">
      <alignment vertical="center" wrapText="1"/>
      <protection/>
    </xf>
    <xf numFmtId="1" fontId="36" fillId="39" borderId="10" xfId="57" applyNumberFormat="1" applyFont="1" applyFill="1" applyBorder="1" applyAlignment="1" applyProtection="1">
      <alignment horizontal="center" vertical="center"/>
      <protection/>
    </xf>
    <xf numFmtId="0" fontId="36" fillId="39" borderId="13" xfId="57" applyFont="1" applyFill="1" applyBorder="1" applyAlignment="1" applyProtection="1">
      <alignment horizontal="left" vertical="center" wrapText="1"/>
      <protection/>
    </xf>
    <xf numFmtId="0" fontId="36" fillId="0" borderId="13" xfId="54" applyFont="1" applyFill="1" applyBorder="1" applyAlignment="1" applyProtection="1">
      <alignment vertical="center" wrapText="1"/>
      <protection/>
    </xf>
    <xf numFmtId="1" fontId="36" fillId="0" borderId="10" xfId="54" applyNumberFormat="1" applyFont="1" applyFill="1" applyBorder="1" applyAlignment="1" applyProtection="1">
      <alignment horizontal="center" vertical="center" wrapText="1"/>
      <protection/>
    </xf>
    <xf numFmtId="0" fontId="36" fillId="0" borderId="13" xfId="57" applyFont="1" applyFill="1" applyBorder="1" applyAlignment="1" applyProtection="1">
      <alignment vertical="center" wrapText="1"/>
      <protection/>
    </xf>
    <xf numFmtId="1" fontId="36" fillId="0" borderId="10" xfId="57" applyNumberFormat="1" applyFont="1" applyFill="1" applyBorder="1" applyAlignment="1" applyProtection="1">
      <alignment horizontal="center" vertical="center"/>
      <protection/>
    </xf>
    <xf numFmtId="0" fontId="35" fillId="39" borderId="13" xfId="57" applyFont="1" applyFill="1" applyBorder="1" applyAlignment="1" applyProtection="1">
      <alignment vertical="center" wrapText="1"/>
      <protection/>
    </xf>
    <xf numFmtId="0" fontId="36" fillId="0" borderId="13" xfId="57" applyFont="1" applyFill="1" applyBorder="1" applyAlignment="1" applyProtection="1">
      <alignment horizontal="left" vertical="center" wrapText="1"/>
      <protection/>
    </xf>
    <xf numFmtId="173" fontId="16" fillId="34" borderId="11" xfId="69" applyFont="1" applyFill="1" applyBorder="1" applyAlignment="1">
      <alignment vertical="center"/>
    </xf>
    <xf numFmtId="173" fontId="28" fillId="38" borderId="15" xfId="53" applyNumberFormat="1" applyFont="1" applyFill="1" applyBorder="1" applyAlignment="1">
      <alignment vertical="center" wrapText="1"/>
      <protection/>
    </xf>
    <xf numFmtId="173" fontId="29" fillId="38" borderId="15" xfId="53" applyNumberFormat="1" applyFont="1" applyFill="1" applyBorder="1" applyAlignment="1">
      <alignment vertical="center" wrapText="1"/>
      <protection/>
    </xf>
    <xf numFmtId="0" fontId="36" fillId="39" borderId="18" xfId="57" applyFont="1" applyFill="1" applyBorder="1" applyAlignment="1" applyProtection="1">
      <alignment vertical="center" wrapText="1"/>
      <protection/>
    </xf>
    <xf numFmtId="1" fontId="36" fillId="39" borderId="19" xfId="57" applyNumberFormat="1" applyFont="1" applyFill="1" applyBorder="1" applyAlignment="1" applyProtection="1">
      <alignment horizontal="center" vertical="center"/>
      <protection/>
    </xf>
    <xf numFmtId="173" fontId="33" fillId="38" borderId="11" xfId="53" applyNumberFormat="1" applyFont="1" applyFill="1" applyBorder="1" applyAlignment="1">
      <alignment vertical="center" wrapText="1"/>
      <protection/>
    </xf>
    <xf numFmtId="0" fontId="30" fillId="35" borderId="0" xfId="53" applyFont="1" applyFill="1" applyAlignment="1">
      <alignment vertical="center"/>
      <protection/>
    </xf>
    <xf numFmtId="0" fontId="30" fillId="35" borderId="0" xfId="53" applyFont="1" applyFill="1" applyAlignment="1">
      <alignment horizontal="left" vertical="center"/>
      <protection/>
    </xf>
    <xf numFmtId="0" fontId="36" fillId="39" borderId="18" xfId="57" applyFont="1" applyFill="1" applyBorder="1" applyAlignment="1" applyProtection="1">
      <alignment horizontal="left" vertical="center" wrapText="1"/>
      <protection/>
    </xf>
    <xf numFmtId="0" fontId="0" fillId="0" borderId="0" xfId="53" applyFill="1" applyBorder="1">
      <alignment/>
      <protection/>
    </xf>
    <xf numFmtId="0" fontId="11" fillId="0" borderId="0" xfId="53" applyFont="1" applyFill="1" applyBorder="1" applyAlignment="1">
      <alignment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Border="1">
      <alignment/>
      <protection/>
    </xf>
    <xf numFmtId="0" fontId="9" fillId="0" borderId="0" xfId="53" applyFont="1" applyFill="1" applyBorder="1">
      <alignment/>
      <protection/>
    </xf>
    <xf numFmtId="0" fontId="9" fillId="36" borderId="0" xfId="53" applyFont="1" applyFill="1" applyBorder="1">
      <alignment/>
      <protection/>
    </xf>
    <xf numFmtId="0" fontId="0" fillId="0" borderId="0" xfId="53" applyFill="1" applyBorder="1" applyAlignment="1">
      <alignment vertical="center" wrapText="1"/>
      <protection/>
    </xf>
    <xf numFmtId="0" fontId="32" fillId="0" borderId="0" xfId="53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30" fillId="0" borderId="0" xfId="53" applyFont="1" applyFill="1" applyBorder="1" applyAlignment="1">
      <alignment vertical="center"/>
      <protection/>
    </xf>
    <xf numFmtId="0" fontId="30" fillId="0" borderId="0" xfId="53" applyFont="1" applyFill="1" applyBorder="1" applyAlignment="1">
      <alignment horizontal="left" vertical="center"/>
      <protection/>
    </xf>
    <xf numFmtId="0" fontId="26" fillId="0" borderId="0" xfId="53" applyFont="1" applyFill="1" applyBorder="1">
      <alignment/>
      <protection/>
    </xf>
    <xf numFmtId="173" fontId="30" fillId="0" borderId="0" xfId="69" applyFont="1" applyFill="1" applyBorder="1" applyAlignment="1">
      <alignment/>
    </xf>
    <xf numFmtId="0" fontId="27" fillId="0" borderId="0" xfId="53" applyFont="1" applyFill="1" applyBorder="1">
      <alignment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wrapText="1"/>
      <protection/>
    </xf>
    <xf numFmtId="0" fontId="33" fillId="0" borderId="0" xfId="53" applyFont="1" applyFill="1" applyBorder="1" applyAlignment="1">
      <alignment vertical="center" wrapText="1"/>
      <protection/>
    </xf>
    <xf numFmtId="173" fontId="0" fillId="0" borderId="0" xfId="53" applyNumberFormat="1" applyFill="1" applyBorder="1" applyAlignment="1">
      <alignment vertical="center"/>
      <protection/>
    </xf>
    <xf numFmtId="173" fontId="3" fillId="0" borderId="0" xfId="53" applyNumberFormat="1" applyFont="1" applyFill="1" applyBorder="1" applyAlignment="1">
      <alignment vertical="center"/>
      <protection/>
    </xf>
    <xf numFmtId="173" fontId="1" fillId="0" borderId="0" xfId="69" applyFont="1" applyFill="1" applyBorder="1" applyAlignment="1">
      <alignment vertical="center"/>
    </xf>
    <xf numFmtId="173" fontId="0" fillId="0" borderId="0" xfId="53" applyNumberFormat="1" applyFill="1" applyBorder="1">
      <alignment/>
      <protection/>
    </xf>
    <xf numFmtId="173" fontId="3" fillId="0" borderId="0" xfId="53" applyNumberFormat="1" applyFont="1" applyFill="1" applyBorder="1">
      <alignment/>
      <protection/>
    </xf>
    <xf numFmtId="173" fontId="1" fillId="0" borderId="0" xfId="69" applyFont="1" applyFill="1" applyBorder="1" applyAlignment="1">
      <alignment/>
    </xf>
    <xf numFmtId="0" fontId="3" fillId="0" borderId="0" xfId="53" applyFont="1" applyFill="1" applyBorder="1" applyAlignment="1">
      <alignment vertical="center"/>
      <protection/>
    </xf>
    <xf numFmtId="173" fontId="102" fillId="0" borderId="0" xfId="53" applyNumberFormat="1" applyFont="1" applyFill="1" applyBorder="1" applyAlignment="1">
      <alignment vertical="center"/>
      <protection/>
    </xf>
    <xf numFmtId="173" fontId="30" fillId="0" borderId="0" xfId="53" applyNumberFormat="1" applyFont="1" applyFill="1" applyBorder="1" applyAlignment="1">
      <alignment vertical="center"/>
      <protection/>
    </xf>
    <xf numFmtId="173" fontId="30" fillId="0" borderId="0" xfId="69" applyFont="1" applyFill="1" applyBorder="1" applyAlignment="1">
      <alignment vertical="center"/>
    </xf>
    <xf numFmtId="173" fontId="30" fillId="0" borderId="0" xfId="53" applyNumberFormat="1" applyFont="1" applyFill="1" applyBorder="1" applyAlignment="1">
      <alignment horizontal="left" vertical="center"/>
      <protection/>
    </xf>
    <xf numFmtId="173" fontId="8" fillId="0" borderId="0" xfId="53" applyNumberFormat="1" applyFont="1" applyFill="1" applyBorder="1">
      <alignment/>
      <protection/>
    </xf>
    <xf numFmtId="0" fontId="23" fillId="0" borderId="0" xfId="53" applyFont="1" applyFill="1" applyBorder="1">
      <alignment/>
      <protection/>
    </xf>
    <xf numFmtId="14" fontId="9" fillId="40" borderId="10" xfId="53" applyNumberFormat="1" applyFont="1" applyFill="1" applyBorder="1" applyAlignment="1">
      <alignment vertical="center" wrapText="1"/>
      <protection/>
    </xf>
    <xf numFmtId="14" fontId="9" fillId="40" borderId="13" xfId="53" applyNumberFormat="1" applyFont="1" applyFill="1" applyBorder="1" applyAlignment="1">
      <alignment vertical="center" wrapText="1"/>
      <protection/>
    </xf>
    <xf numFmtId="1" fontId="36" fillId="0" borderId="19" xfId="54" applyNumberFormat="1" applyFont="1" applyFill="1" applyBorder="1" applyAlignment="1" applyProtection="1">
      <alignment horizontal="center" vertical="center" wrapText="1"/>
      <protection/>
    </xf>
    <xf numFmtId="0" fontId="34" fillId="35" borderId="13" xfId="54" applyFont="1" applyFill="1" applyBorder="1" applyAlignment="1" applyProtection="1">
      <alignment horizontal="left" vertical="center" wrapText="1"/>
      <protection/>
    </xf>
    <xf numFmtId="173" fontId="15" fillId="0" borderId="0" xfId="69" applyFont="1" applyFill="1" applyAlignment="1">
      <alignment vertical="center"/>
    </xf>
    <xf numFmtId="0" fontId="7" fillId="0" borderId="13" xfId="54" applyFont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vertical="center" wrapText="1"/>
      <protection/>
    </xf>
    <xf numFmtId="173" fontId="30" fillId="35" borderId="0" xfId="69" applyFont="1" applyFill="1" applyBorder="1" applyAlignment="1">
      <alignment horizontal="left" vertical="center"/>
    </xf>
    <xf numFmtId="173" fontId="29" fillId="35" borderId="0" xfId="69" applyFont="1" applyFill="1" applyBorder="1" applyAlignment="1">
      <alignment horizontal="left" vertical="center"/>
    </xf>
    <xf numFmtId="0" fontId="30" fillId="35" borderId="14" xfId="53" applyFont="1" applyFill="1" applyBorder="1" applyAlignment="1">
      <alignment horizontal="left" vertical="center"/>
      <protection/>
    </xf>
    <xf numFmtId="14" fontId="0" fillId="34" borderId="13" xfId="53" applyNumberFormat="1" applyFill="1" applyBorder="1" applyAlignment="1">
      <alignment vertical="center" wrapText="1"/>
      <protection/>
    </xf>
    <xf numFmtId="14" fontId="11" fillId="0" borderId="0" xfId="53" applyNumberFormat="1" applyFont="1" applyFill="1" applyBorder="1" applyAlignment="1">
      <alignment wrapText="1"/>
      <protection/>
    </xf>
    <xf numFmtId="173" fontId="16" fillId="34" borderId="0" xfId="69" applyFont="1" applyFill="1" applyBorder="1" applyAlignment="1">
      <alignment vertical="center"/>
    </xf>
    <xf numFmtId="0" fontId="34" fillId="35" borderId="13" xfId="54" applyFont="1" applyFill="1" applyBorder="1" applyAlignment="1" applyProtection="1">
      <alignment horizontal="left" wrapText="1"/>
      <protection/>
    </xf>
    <xf numFmtId="173" fontId="30" fillId="35" borderId="11" xfId="69" applyFont="1" applyFill="1" applyBorder="1" applyAlignment="1">
      <alignment horizontal="left"/>
    </xf>
    <xf numFmtId="173" fontId="29" fillId="35" borderId="11" xfId="69" applyFont="1" applyFill="1" applyBorder="1" applyAlignment="1">
      <alignment horizontal="left"/>
    </xf>
    <xf numFmtId="173" fontId="8" fillId="37" borderId="0" xfId="69" applyFont="1" applyFill="1" applyAlignment="1">
      <alignment vertical="center"/>
    </xf>
    <xf numFmtId="173" fontId="8" fillId="37" borderId="0" xfId="69" applyFont="1" applyFill="1" applyBorder="1" applyAlignment="1">
      <alignment vertical="center"/>
    </xf>
    <xf numFmtId="0" fontId="30" fillId="35" borderId="14" xfId="53" applyFont="1" applyFill="1" applyBorder="1" applyAlignment="1">
      <alignment horizontal="left"/>
      <protection/>
    </xf>
    <xf numFmtId="0" fontId="26" fillId="36" borderId="10" xfId="53" applyFont="1" applyFill="1" applyBorder="1" applyAlignment="1">
      <alignment horizontal="center" vertical="center"/>
      <protection/>
    </xf>
    <xf numFmtId="173" fontId="27" fillId="36" borderId="0" xfId="69" applyFont="1" applyFill="1" applyAlignment="1">
      <alignment vertical="center"/>
    </xf>
    <xf numFmtId="0" fontId="26" fillId="36" borderId="0" xfId="53" applyFont="1" applyFill="1" applyAlignment="1">
      <alignment vertical="center"/>
      <protection/>
    </xf>
    <xf numFmtId="173" fontId="26" fillId="36" borderId="0" xfId="69" applyFont="1" applyFill="1" applyAlignment="1">
      <alignment vertical="center"/>
    </xf>
    <xf numFmtId="173" fontId="28" fillId="36" borderId="0" xfId="69" applyFont="1" applyFill="1" applyAlignment="1">
      <alignment vertical="center"/>
    </xf>
    <xf numFmtId="173" fontId="26" fillId="36" borderId="0" xfId="69" applyFont="1" applyFill="1" applyBorder="1" applyAlignment="1">
      <alignment vertical="center"/>
    </xf>
    <xf numFmtId="2" fontId="26" fillId="36" borderId="0" xfId="53" applyNumberFormat="1" applyFont="1" applyFill="1" applyAlignment="1">
      <alignment horizontal="center" vertical="center"/>
      <protection/>
    </xf>
    <xf numFmtId="0" fontId="26" fillId="0" borderId="0" xfId="53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6" fillId="36" borderId="10" xfId="53" applyFont="1" applyFill="1" applyBorder="1" applyAlignment="1">
      <alignment vertical="center" wrapText="1"/>
      <protection/>
    </xf>
    <xf numFmtId="0" fontId="26" fillId="19" borderId="10" xfId="53" applyFont="1" applyFill="1" applyBorder="1" applyAlignment="1">
      <alignment vertical="center"/>
      <protection/>
    </xf>
    <xf numFmtId="0" fontId="26" fillId="19" borderId="10" xfId="53" applyFont="1" applyFill="1" applyBorder="1" applyAlignment="1">
      <alignment horizontal="center" vertical="center"/>
      <protection/>
    </xf>
    <xf numFmtId="173" fontId="27" fillId="19" borderId="11" xfId="69" applyFont="1" applyFill="1" applyBorder="1" applyAlignment="1">
      <alignment vertical="center"/>
    </xf>
    <xf numFmtId="173" fontId="29" fillId="19" borderId="11" xfId="69" applyFont="1" applyFill="1" applyBorder="1" applyAlignment="1">
      <alignment vertical="center"/>
    </xf>
    <xf numFmtId="173" fontId="26" fillId="19" borderId="11" xfId="69" applyFont="1" applyFill="1" applyBorder="1" applyAlignment="1">
      <alignment vertical="center"/>
    </xf>
    <xf numFmtId="0" fontId="26" fillId="19" borderId="11" xfId="53" applyFont="1" applyFill="1" applyBorder="1" applyAlignment="1">
      <alignment vertical="center"/>
      <protection/>
    </xf>
    <xf numFmtId="173" fontId="27" fillId="41" borderId="0" xfId="69" applyFont="1" applyFill="1" applyBorder="1" applyAlignment="1">
      <alignment vertical="center"/>
    </xf>
    <xf numFmtId="173" fontId="29" fillId="41" borderId="0" xfId="69" applyFont="1" applyFill="1" applyBorder="1" applyAlignment="1">
      <alignment vertical="center"/>
    </xf>
    <xf numFmtId="0" fontId="26" fillId="41" borderId="10" xfId="53" applyFont="1" applyFill="1" applyBorder="1" applyAlignment="1">
      <alignment horizontal="center" vertical="center"/>
      <protection/>
    </xf>
    <xf numFmtId="173" fontId="27" fillId="41" borderId="11" xfId="69" applyFont="1" applyFill="1" applyBorder="1" applyAlignment="1">
      <alignment vertical="center"/>
    </xf>
    <xf numFmtId="173" fontId="29" fillId="41" borderId="11" xfId="69" applyFont="1" applyFill="1" applyBorder="1" applyAlignment="1">
      <alignment vertical="center"/>
    </xf>
    <xf numFmtId="173" fontId="26" fillId="41" borderId="11" xfId="69" applyFont="1" applyFill="1" applyBorder="1" applyAlignment="1">
      <alignment vertical="center"/>
    </xf>
    <xf numFmtId="0" fontId="26" fillId="41" borderId="11" xfId="53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3" fontId="32" fillId="38" borderId="15" xfId="53" applyNumberFormat="1" applyFont="1" applyFill="1" applyBorder="1" applyAlignment="1">
      <alignment vertical="center" wrapText="1"/>
      <protection/>
    </xf>
    <xf numFmtId="0" fontId="3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38" fillId="0" borderId="2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8" fillId="0" borderId="21" xfId="56" applyFont="1" applyFill="1" applyBorder="1">
      <alignment/>
      <protection/>
    </xf>
    <xf numFmtId="0" fontId="5" fillId="0" borderId="22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8" fillId="13" borderId="23" xfId="56" applyFont="1" applyFill="1" applyBorder="1" applyAlignment="1">
      <alignment vertical="center" wrapText="1"/>
      <protection/>
    </xf>
    <xf numFmtId="14" fontId="0" fillId="0" borderId="14" xfId="56" applyNumberFormat="1" applyBorder="1" applyAlignment="1">
      <alignment vertical="center" wrapText="1"/>
      <protection/>
    </xf>
    <xf numFmtId="14" fontId="0" fillId="0" borderId="10" xfId="56" applyNumberFormat="1" applyBorder="1" applyAlignment="1">
      <alignment vertical="center" wrapText="1"/>
      <protection/>
    </xf>
    <xf numFmtId="14" fontId="4" fillId="0" borderId="10" xfId="56" applyNumberFormat="1" applyFont="1" applyBorder="1" applyAlignment="1">
      <alignment vertical="center" wrapText="1"/>
      <protection/>
    </xf>
    <xf numFmtId="14" fontId="4" fillId="33" borderId="10" xfId="56" applyNumberFormat="1" applyFont="1" applyFill="1" applyBorder="1" applyAlignment="1">
      <alignment vertical="center" wrapText="1"/>
      <protection/>
    </xf>
    <xf numFmtId="14" fontId="4" fillId="33" borderId="13" xfId="56" applyNumberFormat="1" applyFont="1" applyFill="1" applyBorder="1" applyAlignment="1">
      <alignment vertical="center" wrapText="1"/>
      <protection/>
    </xf>
    <xf numFmtId="14" fontId="0" fillId="13" borderId="23" xfId="56" applyNumberFormat="1" applyFill="1" applyBorder="1" applyAlignment="1">
      <alignment vertical="center" wrapText="1"/>
      <protection/>
    </xf>
    <xf numFmtId="14" fontId="5" fillId="0" borderId="10" xfId="56" applyNumberFormat="1" applyFont="1" applyBorder="1" applyAlignment="1">
      <alignment horizontal="center" vertical="center" wrapText="1"/>
      <protection/>
    </xf>
    <xf numFmtId="14" fontId="5" fillId="0" borderId="10" xfId="56" applyNumberFormat="1" applyFont="1" applyBorder="1" applyAlignment="1">
      <alignment vertical="center" wrapText="1"/>
      <protection/>
    </xf>
    <xf numFmtId="14" fontId="9" fillId="42" borderId="10" xfId="56" applyNumberFormat="1" applyFont="1" applyFill="1" applyBorder="1" applyAlignment="1">
      <alignment vertical="center" wrapText="1"/>
      <protection/>
    </xf>
    <xf numFmtId="14" fontId="9" fillId="42" borderId="13" xfId="56" applyNumberFormat="1" applyFont="1" applyFill="1" applyBorder="1" applyAlignment="1">
      <alignment vertical="center" wrapText="1"/>
      <protection/>
    </xf>
    <xf numFmtId="0" fontId="0" fillId="0" borderId="22" xfId="56" applyFill="1" applyBorder="1" applyAlignment="1">
      <alignment vertical="center" wrapText="1"/>
      <protection/>
    </xf>
    <xf numFmtId="0" fontId="0" fillId="0" borderId="0" xfId="56" applyFill="1" applyBorder="1" applyAlignment="1">
      <alignment vertical="center" wrapText="1"/>
      <protection/>
    </xf>
    <xf numFmtId="173" fontId="38" fillId="13" borderId="23" xfId="69" applyFont="1" applyFill="1" applyBorder="1" applyAlignment="1">
      <alignment/>
    </xf>
    <xf numFmtId="173" fontId="20" fillId="13" borderId="23" xfId="69" applyFont="1" applyFill="1" applyBorder="1" applyAlignment="1">
      <alignment/>
    </xf>
    <xf numFmtId="0" fontId="8" fillId="0" borderId="0" xfId="56" applyFont="1" applyFill="1" applyBorder="1">
      <alignment/>
      <protection/>
    </xf>
    <xf numFmtId="173" fontId="34" fillId="13" borderId="23" xfId="69" applyFont="1" applyFill="1" applyBorder="1" applyAlignment="1" applyProtection="1">
      <alignment horizontal="center" vertical="center" wrapText="1"/>
      <protection hidden="1" locked="0"/>
    </xf>
    <xf numFmtId="173" fontId="42" fillId="43" borderId="14" xfId="69" applyFont="1" applyFill="1" applyBorder="1" applyAlignment="1">
      <alignment horizontal="center" vertical="center"/>
    </xf>
    <xf numFmtId="173" fontId="42" fillId="43" borderId="10" xfId="69" applyFont="1" applyFill="1" applyBorder="1" applyAlignment="1">
      <alignment horizontal="center" vertical="center"/>
    </xf>
    <xf numFmtId="173" fontId="13" fillId="43" borderId="10" xfId="69" applyFont="1" applyFill="1" applyBorder="1" applyAlignment="1">
      <alignment horizontal="center" vertical="center"/>
    </xf>
    <xf numFmtId="173" fontId="13" fillId="43" borderId="13" xfId="69" applyFont="1" applyFill="1" applyBorder="1" applyAlignment="1">
      <alignment horizontal="center" vertical="center"/>
    </xf>
    <xf numFmtId="173" fontId="8" fillId="13" borderId="23" xfId="69" applyFont="1" applyFill="1" applyBorder="1" applyAlignment="1">
      <alignment horizontal="center" vertical="center"/>
    </xf>
    <xf numFmtId="173" fontId="20" fillId="13" borderId="23" xfId="69" applyFont="1" applyFill="1" applyBorder="1" applyAlignment="1">
      <alignment horizontal="center" vertical="center"/>
    </xf>
    <xf numFmtId="173" fontId="42" fillId="43" borderId="15" xfId="69" applyFont="1" applyFill="1" applyBorder="1" applyAlignment="1">
      <alignment horizontal="center" vertical="center"/>
    </xf>
    <xf numFmtId="173" fontId="13" fillId="43" borderId="14" xfId="69" applyFont="1" applyFill="1" applyBorder="1" applyAlignment="1">
      <alignment horizontal="center" vertical="center"/>
    </xf>
    <xf numFmtId="173" fontId="17" fillId="43" borderId="10" xfId="69" applyFont="1" applyFill="1" applyBorder="1" applyAlignment="1">
      <alignment horizontal="center" vertical="center"/>
    </xf>
    <xf numFmtId="173" fontId="43" fillId="43" borderId="13" xfId="56" applyNumberFormat="1" applyFont="1" applyFill="1" applyBorder="1" applyAlignment="1">
      <alignment horizontal="center" vertical="center"/>
      <protection/>
    </xf>
    <xf numFmtId="0" fontId="43" fillId="0" borderId="22" xfId="56" applyFont="1" applyFill="1" applyBorder="1" applyAlignment="1">
      <alignment horizontal="center" vertical="center"/>
      <protection/>
    </xf>
    <xf numFmtId="0" fontId="43" fillId="0" borderId="0" xfId="56" applyFont="1" applyFill="1" applyBorder="1" applyAlignment="1">
      <alignment horizontal="center" vertical="center"/>
      <protection/>
    </xf>
    <xf numFmtId="173" fontId="34" fillId="13" borderId="23" xfId="69" applyFont="1" applyFill="1" applyBorder="1" applyAlignment="1" applyProtection="1">
      <alignment vertical="center" wrapText="1"/>
      <protection/>
    </xf>
    <xf numFmtId="173" fontId="20" fillId="44" borderId="14" xfId="69" applyFont="1" applyFill="1" applyBorder="1" applyAlignment="1">
      <alignment vertical="center"/>
    </xf>
    <xf numFmtId="173" fontId="20" fillId="44" borderId="13" xfId="69" applyFont="1" applyFill="1" applyBorder="1" applyAlignment="1">
      <alignment vertical="center"/>
    </xf>
    <xf numFmtId="173" fontId="17" fillId="44" borderId="14" xfId="69" applyFont="1" applyFill="1" applyBorder="1" applyAlignment="1">
      <alignment vertical="center"/>
    </xf>
    <xf numFmtId="173" fontId="17" fillId="44" borderId="13" xfId="69" applyFont="1" applyFill="1" applyBorder="1" applyAlignment="1">
      <alignment vertical="center"/>
    </xf>
    <xf numFmtId="173" fontId="20" fillId="13" borderId="23" xfId="69" applyFont="1" applyFill="1" applyBorder="1" applyAlignment="1">
      <alignment vertical="center"/>
    </xf>
    <xf numFmtId="173" fontId="17" fillId="44" borderId="10" xfId="69" applyFont="1" applyFill="1" applyBorder="1" applyAlignment="1">
      <alignment vertical="center"/>
    </xf>
    <xf numFmtId="173" fontId="5" fillId="44" borderId="13" xfId="56" applyNumberFormat="1" applyFont="1" applyFill="1" applyBorder="1" applyAlignment="1">
      <alignment vertical="center"/>
      <protection/>
    </xf>
    <xf numFmtId="175" fontId="39" fillId="45" borderId="10" xfId="54" applyNumberFormat="1" applyFont="1" applyFill="1" applyBorder="1" applyAlignment="1" applyProtection="1">
      <alignment vertical="center" wrapText="1"/>
      <protection/>
    </xf>
    <xf numFmtId="1" fontId="39" fillId="45" borderId="13" xfId="57" applyNumberFormat="1" applyFont="1" applyFill="1" applyBorder="1" applyAlignment="1" applyProtection="1">
      <alignment horizontal="center"/>
      <protection/>
    </xf>
    <xf numFmtId="173" fontId="17" fillId="45" borderId="14" xfId="69" applyFont="1" applyFill="1" applyBorder="1" applyAlignment="1">
      <alignment/>
    </xf>
    <xf numFmtId="173" fontId="17" fillId="45" borderId="10" xfId="69" applyFont="1" applyFill="1" applyBorder="1" applyAlignment="1">
      <alignment/>
    </xf>
    <xf numFmtId="173" fontId="13" fillId="45" borderId="10" xfId="69" applyFont="1" applyFill="1" applyBorder="1" applyAlignment="1">
      <alignment/>
    </xf>
    <xf numFmtId="173" fontId="13" fillId="45" borderId="13" xfId="69" applyFont="1" applyFill="1" applyBorder="1" applyAlignment="1">
      <alignment/>
    </xf>
    <xf numFmtId="173" fontId="5" fillId="45" borderId="13" xfId="56" applyNumberFormat="1" applyFont="1" applyFill="1" applyBorder="1">
      <alignment/>
      <protection/>
    </xf>
    <xf numFmtId="173" fontId="20" fillId="45" borderId="14" xfId="69" applyFont="1" applyFill="1" applyBorder="1" applyAlignment="1">
      <alignment/>
    </xf>
    <xf numFmtId="173" fontId="20" fillId="44" borderId="10" xfId="69" applyFont="1" applyFill="1" applyBorder="1" applyAlignment="1">
      <alignment vertical="center"/>
    </xf>
    <xf numFmtId="173" fontId="40" fillId="45" borderId="10" xfId="69" applyFont="1" applyFill="1" applyBorder="1" applyAlignment="1">
      <alignment/>
    </xf>
    <xf numFmtId="173" fontId="40" fillId="45" borderId="13" xfId="69" applyFont="1" applyFill="1" applyBorder="1" applyAlignment="1">
      <alignment/>
    </xf>
    <xf numFmtId="175" fontId="103" fillId="45" borderId="10" xfId="54" applyNumberFormat="1" applyFont="1" applyFill="1" applyBorder="1" applyAlignment="1" applyProtection="1">
      <alignment horizontal="right" vertical="center" wrapText="1"/>
      <protection/>
    </xf>
    <xf numFmtId="1" fontId="103" fillId="45" borderId="13" xfId="57" applyNumberFormat="1" applyFont="1" applyFill="1" applyBorder="1" applyAlignment="1" applyProtection="1">
      <alignment horizontal="center"/>
      <protection/>
    </xf>
    <xf numFmtId="173" fontId="104" fillId="13" borderId="23" xfId="69" applyFont="1" applyFill="1" applyBorder="1" applyAlignment="1">
      <alignment/>
    </xf>
    <xf numFmtId="173" fontId="13" fillId="44" borderId="13" xfId="69" applyFont="1" applyFill="1" applyBorder="1" applyAlignment="1">
      <alignment vertical="center"/>
    </xf>
    <xf numFmtId="173" fontId="13" fillId="44" borderId="10" xfId="69" applyFont="1" applyFill="1" applyBorder="1" applyAlignment="1">
      <alignment vertical="center"/>
    </xf>
    <xf numFmtId="0" fontId="5" fillId="0" borderId="24" xfId="56" applyFont="1" applyFill="1" applyBorder="1">
      <alignment/>
      <protection/>
    </xf>
    <xf numFmtId="173" fontId="38" fillId="0" borderId="24" xfId="56" applyNumberFormat="1" applyFont="1" applyFill="1" applyBorder="1">
      <alignment/>
      <protection/>
    </xf>
    <xf numFmtId="0" fontId="4" fillId="0" borderId="24" xfId="56" applyFont="1" applyFill="1" applyBorder="1">
      <alignment/>
      <protection/>
    </xf>
    <xf numFmtId="0" fontId="8" fillId="0" borderId="24" xfId="56" applyFont="1" applyFill="1" applyBorder="1">
      <alignment/>
      <protection/>
    </xf>
    <xf numFmtId="173" fontId="17" fillId="0" borderId="24" xfId="69" applyFont="1" applyFill="1" applyBorder="1" applyAlignment="1">
      <alignment/>
    </xf>
    <xf numFmtId="0" fontId="38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5" fillId="0" borderId="0" xfId="56" applyNumberFormat="1" applyFont="1" applyFill="1" applyBorder="1">
      <alignment/>
      <protection/>
    </xf>
    <xf numFmtId="173" fontId="38" fillId="0" borderId="0" xfId="56" applyNumberFormat="1" applyFont="1" applyFill="1" applyBorder="1">
      <alignment/>
      <protection/>
    </xf>
    <xf numFmtId="173" fontId="31" fillId="0" borderId="0" xfId="56" applyNumberFormat="1" applyFont="1" applyFill="1" applyBorder="1">
      <alignment/>
      <protection/>
    </xf>
    <xf numFmtId="173" fontId="5" fillId="0" borderId="0" xfId="56" applyNumberFormat="1" applyFont="1" applyFill="1" applyBorder="1">
      <alignment/>
      <protection/>
    </xf>
    <xf numFmtId="173" fontId="20" fillId="0" borderId="0" xfId="56" applyNumberFormat="1" applyFont="1" applyFill="1" applyBorder="1">
      <alignment/>
      <protection/>
    </xf>
    <xf numFmtId="173" fontId="0" fillId="0" borderId="0" xfId="53" applyNumberFormat="1" applyFont="1" applyFill="1">
      <alignment/>
      <protection/>
    </xf>
    <xf numFmtId="0" fontId="0" fillId="0" borderId="0" xfId="53" applyAlignment="1">
      <alignment horizontal="right"/>
      <protection/>
    </xf>
    <xf numFmtId="14" fontId="0" fillId="0" borderId="10" xfId="53" applyNumberFormat="1" applyBorder="1" applyAlignment="1">
      <alignment horizontal="center" vertical="center" wrapText="1"/>
      <protection/>
    </xf>
    <xf numFmtId="14" fontId="0" fillId="0" borderId="14" xfId="53" applyNumberFormat="1" applyBorder="1" applyAlignment="1">
      <alignment horizontal="center" vertical="center" wrapText="1"/>
      <protection/>
    </xf>
    <xf numFmtId="14" fontId="5" fillId="0" borderId="10" xfId="53" applyNumberFormat="1" applyFont="1" applyBorder="1" applyAlignment="1">
      <alignment horizontal="center" vertical="center" wrapText="1"/>
      <protection/>
    </xf>
    <xf numFmtId="14" fontId="0" fillId="0" borderId="10" xfId="56" applyNumberFormat="1" applyBorder="1" applyAlignment="1">
      <alignment horizontal="center" vertical="center" wrapText="1"/>
      <protection/>
    </xf>
    <xf numFmtId="14" fontId="0" fillId="0" borderId="14" xfId="56" applyNumberFormat="1" applyBorder="1" applyAlignment="1">
      <alignment horizontal="center" vertical="center" wrapText="1"/>
      <protection/>
    </xf>
    <xf numFmtId="14" fontId="4" fillId="0" borderId="10" xfId="56" applyNumberFormat="1" applyFont="1" applyBorder="1" applyAlignment="1">
      <alignment horizontal="center" vertical="center" wrapText="1"/>
      <protection/>
    </xf>
    <xf numFmtId="173" fontId="26" fillId="41" borderId="0" xfId="69" applyFont="1" applyFill="1" applyBorder="1" applyAlignment="1">
      <alignment vertical="center"/>
    </xf>
    <xf numFmtId="0" fontId="26" fillId="41" borderId="10" xfId="53" applyFont="1" applyFill="1" applyBorder="1" applyAlignment="1">
      <alignment vertical="center" wrapText="1"/>
      <protection/>
    </xf>
    <xf numFmtId="173" fontId="27" fillId="19" borderId="0" xfId="69" applyFont="1" applyFill="1" applyBorder="1" applyAlignment="1">
      <alignment/>
    </xf>
    <xf numFmtId="173" fontId="29" fillId="19" borderId="0" xfId="69" applyFont="1" applyFill="1" applyBorder="1" applyAlignment="1">
      <alignment/>
    </xf>
    <xf numFmtId="0" fontId="26" fillId="0" borderId="0" xfId="53" applyFont="1" applyFill="1" applyBorder="1" applyAlignment="1">
      <alignment/>
      <protection/>
    </xf>
    <xf numFmtId="0" fontId="27" fillId="0" borderId="0" xfId="53" applyFont="1" applyFill="1" applyBorder="1" applyAlignment="1">
      <alignment/>
      <protection/>
    </xf>
    <xf numFmtId="0" fontId="26" fillId="19" borderId="0" xfId="53" applyFont="1" applyFill="1" applyBorder="1" applyAlignment="1">
      <alignment/>
      <protection/>
    </xf>
    <xf numFmtId="173" fontId="27" fillId="41" borderId="0" xfId="69" applyFont="1" applyFill="1" applyBorder="1" applyAlignment="1">
      <alignment/>
    </xf>
    <xf numFmtId="173" fontId="29" fillId="41" borderId="0" xfId="69" applyFont="1" applyFill="1" applyBorder="1" applyAlignment="1">
      <alignment/>
    </xf>
    <xf numFmtId="0" fontId="26" fillId="41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173" fontId="9" fillId="0" borderId="0" xfId="53" applyNumberFormat="1" applyFont="1" applyFill="1" applyBorder="1" applyAlignment="1">
      <alignment/>
      <protection/>
    </xf>
    <xf numFmtId="0" fontId="9" fillId="0" borderId="0" xfId="53" applyFont="1" applyFill="1" applyAlignment="1">
      <alignment/>
      <protection/>
    </xf>
    <xf numFmtId="173" fontId="22" fillId="0" borderId="15" xfId="69" applyFont="1" applyFill="1" applyBorder="1" applyAlignment="1">
      <alignment/>
    </xf>
    <xf numFmtId="173" fontId="18" fillId="0" borderId="15" xfId="69" applyFont="1" applyFill="1" applyBorder="1" applyAlignment="1">
      <alignment/>
    </xf>
    <xf numFmtId="173" fontId="13" fillId="0" borderId="15" xfId="69" applyFont="1" applyFill="1" applyBorder="1" applyAlignment="1">
      <alignment/>
    </xf>
    <xf numFmtId="173" fontId="0" fillId="0" borderId="0" xfId="53" applyNumberFormat="1" applyFill="1" applyBorder="1" applyAlignment="1">
      <alignment/>
      <protection/>
    </xf>
    <xf numFmtId="173" fontId="8" fillId="0" borderId="0" xfId="53" applyNumberFormat="1" applyFont="1" applyFill="1">
      <alignment/>
      <protection/>
    </xf>
    <xf numFmtId="173" fontId="105" fillId="0" borderId="0" xfId="53" applyNumberFormat="1" applyFont="1" applyFill="1" applyAlignment="1">
      <alignment horizontal="right"/>
      <protection/>
    </xf>
    <xf numFmtId="9" fontId="0" fillId="0" borderId="0" xfId="53" applyNumberForma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>
      <alignment/>
      <protection/>
    </xf>
    <xf numFmtId="0" fontId="87" fillId="0" borderId="0" xfId="53" applyFont="1" applyAlignment="1">
      <alignment horizontal="right"/>
      <protection/>
    </xf>
    <xf numFmtId="173" fontId="1" fillId="0" borderId="0" xfId="53" applyNumberFormat="1" applyFont="1">
      <alignment/>
      <protection/>
    </xf>
    <xf numFmtId="173" fontId="0" fillId="0" borderId="0" xfId="67" applyFont="1" applyAlignment="1">
      <alignment/>
    </xf>
    <xf numFmtId="165" fontId="100" fillId="0" borderId="0" xfId="53" applyNumberFormat="1" applyFont="1" applyFill="1">
      <alignment/>
      <protection/>
    </xf>
    <xf numFmtId="173" fontId="0" fillId="0" borderId="0" xfId="67" applyFont="1" applyFill="1" applyAlignment="1">
      <alignment/>
    </xf>
    <xf numFmtId="173" fontId="100" fillId="0" borderId="0" xfId="67" applyFont="1" applyFill="1" applyAlignment="1">
      <alignment/>
    </xf>
    <xf numFmtId="173" fontId="100" fillId="0" borderId="0" xfId="67" applyFont="1" applyAlignment="1">
      <alignment/>
    </xf>
    <xf numFmtId="0" fontId="100" fillId="0" borderId="0" xfId="53" applyFont="1">
      <alignment/>
      <protection/>
    </xf>
    <xf numFmtId="173" fontId="102" fillId="0" borderId="0" xfId="67" applyFont="1" applyFill="1" applyAlignment="1">
      <alignment/>
    </xf>
    <xf numFmtId="173" fontId="102" fillId="0" borderId="0" xfId="67" applyFont="1" applyAlignment="1">
      <alignment/>
    </xf>
    <xf numFmtId="165" fontId="102" fillId="0" borderId="0" xfId="53" applyNumberFormat="1" applyFont="1" applyFill="1">
      <alignment/>
      <protection/>
    </xf>
    <xf numFmtId="0" fontId="106" fillId="0" borderId="0" xfId="53" applyFont="1" applyFill="1" applyAlignment="1">
      <alignment vertical="center"/>
      <protection/>
    </xf>
    <xf numFmtId="0" fontId="55" fillId="0" borderId="0" xfId="53" applyFont="1" applyAlignment="1">
      <alignment horizontal="right"/>
      <protection/>
    </xf>
    <xf numFmtId="165" fontId="4" fillId="0" borderId="0" xfId="53" applyNumberFormat="1" applyFont="1">
      <alignment/>
      <protection/>
    </xf>
    <xf numFmtId="165" fontId="0" fillId="0" borderId="0" xfId="53" applyNumberFormat="1" applyFill="1">
      <alignment/>
      <protection/>
    </xf>
    <xf numFmtId="165" fontId="38" fillId="0" borderId="0" xfId="56" applyNumberFormat="1" applyFont="1" applyFill="1" applyBorder="1">
      <alignment/>
      <protection/>
    </xf>
    <xf numFmtId="0" fontId="5" fillId="0" borderId="0" xfId="56" applyFont="1" applyFill="1" applyBorder="1" applyAlignment="1">
      <alignment horizontal="right"/>
      <protection/>
    </xf>
    <xf numFmtId="165" fontId="98" fillId="0" borderId="0" xfId="53" applyNumberFormat="1" applyFont="1" applyFill="1" applyAlignment="1">
      <alignment horizontal="right"/>
      <protection/>
    </xf>
    <xf numFmtId="49" fontId="24" fillId="41" borderId="10" xfId="54" applyNumberFormat="1" applyFont="1" applyFill="1" applyBorder="1" applyAlignment="1">
      <alignment horizontal="center" wrapText="1"/>
      <protection/>
    </xf>
    <xf numFmtId="1" fontId="36" fillId="0" borderId="19" xfId="57" applyNumberFormat="1" applyFont="1" applyFill="1" applyBorder="1" applyAlignment="1" applyProtection="1">
      <alignment horizontal="center" vertical="center"/>
      <protection/>
    </xf>
    <xf numFmtId="1" fontId="36" fillId="0" borderId="17" xfId="57" applyNumberFormat="1" applyFont="1" applyFill="1" applyBorder="1" applyAlignment="1" applyProtection="1">
      <alignment horizontal="center" vertical="center"/>
      <protection/>
    </xf>
    <xf numFmtId="1" fontId="36" fillId="39" borderId="19" xfId="57" applyNumberFormat="1" applyFont="1" applyFill="1" applyBorder="1" applyAlignment="1" applyProtection="1">
      <alignment horizontal="center" vertical="center"/>
      <protection/>
    </xf>
    <xf numFmtId="1" fontId="36" fillId="39" borderId="17" xfId="57" applyNumberFormat="1" applyFont="1" applyFill="1" applyBorder="1" applyAlignment="1" applyProtection="1">
      <alignment horizontal="center" vertical="center"/>
      <protection/>
    </xf>
    <xf numFmtId="1" fontId="36" fillId="39" borderId="25" xfId="57" applyNumberFormat="1" applyFont="1" applyFill="1" applyBorder="1" applyAlignment="1" applyProtection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wrapText="1"/>
      <protection/>
    </xf>
    <xf numFmtId="49" fontId="24" fillId="36" borderId="17" xfId="54" applyNumberFormat="1" applyFont="1" applyFill="1" applyBorder="1" applyAlignment="1">
      <alignment horizontal="center" vertical="center" wrapText="1"/>
      <protection/>
    </xf>
    <xf numFmtId="49" fontId="24" fillId="19" borderId="17" xfId="54" applyNumberFormat="1" applyFont="1" applyFill="1" applyBorder="1" applyAlignment="1">
      <alignment horizontal="center" wrapText="1"/>
      <protection/>
    </xf>
    <xf numFmtId="49" fontId="10" fillId="0" borderId="26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wrapText="1"/>
      <protection/>
    </xf>
    <xf numFmtId="49" fontId="10" fillId="0" borderId="27" xfId="54" applyNumberFormat="1" applyFont="1" applyFill="1" applyBorder="1" applyAlignment="1">
      <alignment horizont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49" fontId="10" fillId="0" borderId="27" xfId="54" applyNumberFormat="1" applyFont="1" applyFill="1" applyBorder="1" applyAlignment="1">
      <alignment horizontal="center" vertical="center" wrapText="1"/>
      <protection/>
    </xf>
    <xf numFmtId="175" fontId="44" fillId="44" borderId="10" xfId="54" applyNumberFormat="1" applyFont="1" applyFill="1" applyBorder="1" applyAlignment="1" applyProtection="1">
      <alignment horizontal="center" vertical="center" wrapText="1"/>
      <protection/>
    </xf>
    <xf numFmtId="175" fontId="44" fillId="44" borderId="13" xfId="54" applyNumberFormat="1" applyFont="1" applyFill="1" applyBorder="1" applyAlignment="1" applyProtection="1">
      <alignment horizontal="center" vertical="center" wrapText="1"/>
      <protection/>
    </xf>
    <xf numFmtId="174" fontId="41" fillId="46" borderId="10" xfId="54" applyNumberFormat="1" applyFont="1" applyFill="1" applyBorder="1" applyAlignment="1" applyProtection="1">
      <alignment horizontal="center" vertical="center" wrapText="1"/>
      <protection hidden="1" locked="0"/>
    </xf>
    <xf numFmtId="174" fontId="41" fillId="46" borderId="13" xfId="54" applyNumberFormat="1" applyFont="1" applyFill="1" applyBorder="1" applyAlignment="1" applyProtection="1">
      <alignment horizontal="center" vertical="center" wrapText="1"/>
      <protection hidden="1"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Книга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Лист1" xfId="65"/>
    <cellStyle name="Тысячи_Лист1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88"/>
  <sheetViews>
    <sheetView zoomScale="90" zoomScaleNormal="90" zoomScalePageLayoutView="0" workbookViewId="0" topLeftCell="A1">
      <pane xSplit="3" ySplit="2" topLeftCell="AC45" activePane="bottomRight" state="frozen"/>
      <selection pane="topLeft" activeCell="AF59" sqref="AF59"/>
      <selection pane="topRight" activeCell="AF59" sqref="AF59"/>
      <selection pane="bottomLeft" activeCell="AF59" sqref="AF59"/>
      <selection pane="bottomRight" activeCell="AP60" sqref="AP60"/>
    </sheetView>
  </sheetViews>
  <sheetFormatPr defaultColWidth="9.140625" defaultRowHeight="15" outlineLevelCol="1"/>
  <cols>
    <col min="1" max="1" width="58.421875" style="24" customWidth="1"/>
    <col min="2" max="2" width="10.00390625" style="24" customWidth="1"/>
    <col min="3" max="3" width="17.7109375" style="25" customWidth="1"/>
    <col min="4" max="4" width="12.421875" style="24" hidden="1" customWidth="1" outlineLevel="1"/>
    <col min="5" max="5" width="15.57421875" style="24" hidden="1" customWidth="1" outlineLevel="1"/>
    <col min="6" max="6" width="16.421875" style="24" hidden="1" customWidth="1" outlineLevel="1"/>
    <col min="7" max="8" width="16.140625" style="24" hidden="1" customWidth="1" outlineLevel="1"/>
    <col min="9" max="9" width="16.57421875" style="24" hidden="1" customWidth="1" outlineLevel="1"/>
    <col min="10" max="10" width="17.8515625" style="53" hidden="1" customWidth="1" outlineLevel="1"/>
    <col min="11" max="11" width="18.00390625" style="53" customWidth="1" collapsed="1"/>
    <col min="12" max="12" width="17.8515625" style="24" customWidth="1"/>
    <col min="13" max="13" width="16.421875" style="24" hidden="1" customWidth="1" outlineLevel="1"/>
    <col min="14" max="14" width="16.00390625" style="24" hidden="1" customWidth="1" outlineLevel="1"/>
    <col min="15" max="15" width="17.57421875" style="24" hidden="1" customWidth="1" outlineLevel="1"/>
    <col min="16" max="16" width="15.00390625" style="24" hidden="1" customWidth="1" outlineLevel="1"/>
    <col min="17" max="17" width="17.00390625" style="24" hidden="1" customWidth="1" outlineLevel="1"/>
    <col min="18" max="18" width="16.28125" style="24" hidden="1" customWidth="1" outlineLevel="1"/>
    <col min="19" max="19" width="18.57421875" style="53" hidden="1" customWidth="1" outlineLevel="1"/>
    <col min="20" max="20" width="16.140625" style="53" customWidth="1" collapsed="1"/>
    <col min="21" max="21" width="18.00390625" style="113" customWidth="1" collapsed="1"/>
    <col min="22" max="22" width="16.421875" style="24" hidden="1" customWidth="1" outlineLevel="1"/>
    <col min="23" max="23" width="15.57421875" style="24" hidden="1" customWidth="1" outlineLevel="1"/>
    <col min="24" max="24" width="15.7109375" style="24" hidden="1" customWidth="1" outlineLevel="1"/>
    <col min="25" max="25" width="17.7109375" style="24" hidden="1" customWidth="1" outlineLevel="1"/>
    <col min="26" max="26" width="16.7109375" style="24" hidden="1" customWidth="1" outlineLevel="1"/>
    <col min="27" max="27" width="17.7109375" style="24" hidden="1" customWidth="1" outlineLevel="1"/>
    <col min="28" max="28" width="17.421875" style="53" hidden="1" customWidth="1" outlineLevel="1"/>
    <col min="29" max="29" width="16.7109375" style="53" customWidth="1" collapsed="1"/>
    <col min="30" max="30" width="18.140625" style="24" customWidth="1" collapsed="1"/>
    <col min="31" max="31" width="17.7109375" style="24" hidden="1" customWidth="1" outlineLevel="1"/>
    <col min="32" max="32" width="16.7109375" style="24" hidden="1" customWidth="1" outlineLevel="1"/>
    <col min="33" max="33" width="16.00390625" style="24" hidden="1" customWidth="1" outlineLevel="1"/>
    <col min="34" max="34" width="16.421875" style="24" hidden="1" customWidth="1" outlineLevel="1"/>
    <col min="35" max="35" width="19.140625" style="24" hidden="1" customWidth="1" outlineLevel="1"/>
    <col min="36" max="36" width="15.00390625" style="57" hidden="1" customWidth="1" outlineLevel="1"/>
    <col min="37" max="37" width="17.7109375" style="57" hidden="1" customWidth="1" outlineLevel="1"/>
    <col min="38" max="38" width="19.28125" style="57" hidden="1" customWidth="1" outlineLevel="1"/>
    <col min="39" max="39" width="16.8515625" style="53" hidden="1" customWidth="1" outlineLevel="1"/>
    <col min="40" max="40" width="16.57421875" style="53" customWidth="1" collapsed="1"/>
    <col min="41" max="41" width="19.140625" style="24" customWidth="1"/>
    <col min="42" max="42" width="12.421875" style="24" customWidth="1"/>
    <col min="43" max="43" width="14.28125" style="110" customWidth="1"/>
    <col min="44" max="44" width="17.57421875" style="110" bestFit="1" customWidth="1"/>
    <col min="45" max="45" width="17.57421875" style="110" customWidth="1"/>
    <col min="46" max="46" width="16.140625" style="110" customWidth="1"/>
    <col min="47" max="47" width="9.140625" style="110" customWidth="1"/>
    <col min="48" max="48" width="17.57421875" style="110" bestFit="1" customWidth="1"/>
    <col min="49" max="49" width="18.140625" style="110" customWidth="1"/>
    <col min="50" max="16384" width="9.140625" style="110" customWidth="1"/>
  </cols>
  <sheetData>
    <row r="1" spans="1:256" s="1" customFormat="1" ht="18.75">
      <c r="A1" s="183" t="s">
        <v>35</v>
      </c>
      <c r="C1" s="2"/>
      <c r="J1" s="3"/>
      <c r="K1" s="3"/>
      <c r="S1" s="3"/>
      <c r="T1" s="3"/>
      <c r="U1" s="110"/>
      <c r="AB1" s="3"/>
      <c r="AC1" s="3"/>
      <c r="AJ1" s="4"/>
      <c r="AK1" s="4"/>
      <c r="AL1" s="4"/>
      <c r="AM1" s="3"/>
      <c r="AN1" s="3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s="10" customFormat="1" ht="32.25" customHeight="1">
      <c r="A2" s="146" t="s">
        <v>0</v>
      </c>
      <c r="B2" s="5" t="s">
        <v>1</v>
      </c>
      <c r="C2" s="147" t="s">
        <v>2</v>
      </c>
      <c r="D2" s="259">
        <v>43110</v>
      </c>
      <c r="E2" s="259">
        <v>43125</v>
      </c>
      <c r="F2" s="259">
        <v>43141</v>
      </c>
      <c r="G2" s="259">
        <v>43156</v>
      </c>
      <c r="H2" s="259">
        <v>43169</v>
      </c>
      <c r="I2" s="259">
        <v>43184</v>
      </c>
      <c r="J2" s="7" t="s">
        <v>3</v>
      </c>
      <c r="K2" s="8" t="s">
        <v>4</v>
      </c>
      <c r="L2" s="9" t="s">
        <v>5</v>
      </c>
      <c r="M2" s="259">
        <v>43200</v>
      </c>
      <c r="N2" s="259">
        <v>43215</v>
      </c>
      <c r="O2" s="259">
        <v>43230</v>
      </c>
      <c r="P2" s="259">
        <v>43245</v>
      </c>
      <c r="Q2" s="259">
        <v>43261</v>
      </c>
      <c r="R2" s="259">
        <v>43276</v>
      </c>
      <c r="S2" s="7" t="s">
        <v>6</v>
      </c>
      <c r="T2" s="8" t="s">
        <v>7</v>
      </c>
      <c r="U2" s="151" t="s">
        <v>8</v>
      </c>
      <c r="V2" s="260">
        <v>43291</v>
      </c>
      <c r="W2" s="259">
        <v>43306</v>
      </c>
      <c r="X2" s="259">
        <v>43322</v>
      </c>
      <c r="Y2" s="259">
        <v>43337</v>
      </c>
      <c r="Z2" s="259">
        <v>43353</v>
      </c>
      <c r="AA2" s="259">
        <v>43368</v>
      </c>
      <c r="AB2" s="7" t="s">
        <v>9</v>
      </c>
      <c r="AC2" s="8" t="s">
        <v>10</v>
      </c>
      <c r="AD2" s="9" t="s">
        <v>11</v>
      </c>
      <c r="AE2" s="6">
        <v>43018</v>
      </c>
      <c r="AF2" s="6">
        <v>43033</v>
      </c>
      <c r="AG2" s="259">
        <v>43414</v>
      </c>
      <c r="AH2" s="259">
        <v>43429</v>
      </c>
      <c r="AI2" s="259">
        <v>43444</v>
      </c>
      <c r="AJ2" s="261" t="s">
        <v>43</v>
      </c>
      <c r="AK2" s="261" t="s">
        <v>44</v>
      </c>
      <c r="AL2" s="261" t="s">
        <v>45</v>
      </c>
      <c r="AM2" s="7" t="s">
        <v>12</v>
      </c>
      <c r="AN2" s="8" t="s">
        <v>13</v>
      </c>
      <c r="AO2" s="141" t="s">
        <v>14</v>
      </c>
      <c r="AP2" s="142" t="s">
        <v>15</v>
      </c>
      <c r="AQ2" s="116"/>
      <c r="AR2" s="124"/>
      <c r="AS2" s="124"/>
      <c r="AT2" s="125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1:256" s="16" customFormat="1" ht="18.75">
      <c r="A3" s="316" t="s">
        <v>30</v>
      </c>
      <c r="B3" s="317"/>
      <c r="C3" s="11"/>
      <c r="D3" s="12"/>
      <c r="E3" s="12"/>
      <c r="F3" s="12"/>
      <c r="G3" s="12"/>
      <c r="H3" s="12"/>
      <c r="I3" s="12"/>
      <c r="J3" s="13"/>
      <c r="K3" s="14"/>
      <c r="L3" s="12"/>
      <c r="M3" s="12"/>
      <c r="N3" s="12"/>
      <c r="O3" s="12"/>
      <c r="P3" s="12"/>
      <c r="Q3" s="12"/>
      <c r="R3" s="12"/>
      <c r="S3" s="13"/>
      <c r="T3" s="13"/>
      <c r="U3" s="152"/>
      <c r="V3" s="12"/>
      <c r="W3" s="12"/>
      <c r="X3" s="12"/>
      <c r="Y3" s="12"/>
      <c r="Z3" s="12"/>
      <c r="AA3" s="12"/>
      <c r="AB3" s="13"/>
      <c r="AC3" s="13"/>
      <c r="AD3" s="12"/>
      <c r="AE3" s="12"/>
      <c r="AF3" s="12"/>
      <c r="AG3" s="12"/>
      <c r="AH3" s="12"/>
      <c r="AI3" s="12"/>
      <c r="AJ3" s="15"/>
      <c r="AK3" s="15"/>
      <c r="AL3" s="15"/>
      <c r="AM3" s="13"/>
      <c r="AN3" s="13"/>
      <c r="AO3" s="13"/>
      <c r="AP3" s="13"/>
      <c r="AQ3" s="111"/>
      <c r="AR3" s="126"/>
      <c r="AS3" s="126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6" customFormat="1" ht="18.75" customHeight="1">
      <c r="A4" s="80" t="s">
        <v>26</v>
      </c>
      <c r="B4" s="81"/>
      <c r="C4" s="82">
        <f>SUM(C5:C6)</f>
        <v>64786700</v>
      </c>
      <c r="D4" s="184"/>
      <c r="E4" s="184"/>
      <c r="F4" s="184"/>
      <c r="G4" s="184"/>
      <c r="H4" s="184"/>
      <c r="I4" s="184"/>
      <c r="J4" s="184"/>
      <c r="K4" s="184"/>
      <c r="L4" s="82"/>
      <c r="M4" s="83"/>
      <c r="N4" s="83"/>
      <c r="O4" s="83"/>
      <c r="P4" s="83"/>
      <c r="Q4" s="83"/>
      <c r="R4" s="83"/>
      <c r="S4" s="84"/>
      <c r="T4" s="84"/>
      <c r="U4" s="82"/>
      <c r="V4" s="83"/>
      <c r="W4" s="83"/>
      <c r="X4" s="83"/>
      <c r="Y4" s="83"/>
      <c r="Z4" s="83"/>
      <c r="AA4" s="83"/>
      <c r="AB4" s="84"/>
      <c r="AC4" s="84"/>
      <c r="AD4" s="82"/>
      <c r="AE4" s="83"/>
      <c r="AF4" s="83"/>
      <c r="AG4" s="83"/>
      <c r="AH4" s="83"/>
      <c r="AI4" s="83"/>
      <c r="AJ4" s="85"/>
      <c r="AK4" s="85"/>
      <c r="AL4" s="85"/>
      <c r="AM4" s="102"/>
      <c r="AN4" s="84"/>
      <c r="AO4" s="84"/>
      <c r="AP4" s="84"/>
      <c r="AQ4" s="117"/>
      <c r="AR4" s="127"/>
      <c r="AS4" s="12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s="75" customFormat="1" ht="19.5" customHeight="1">
      <c r="A5" s="87" t="s">
        <v>16</v>
      </c>
      <c r="B5" s="88">
        <v>211</v>
      </c>
      <c r="C5" s="76">
        <f>62463800+2300000-C6+22900</f>
        <v>64473104.88</v>
      </c>
      <c r="D5" s="73"/>
      <c r="E5" s="73">
        <v>136858.57</v>
      </c>
      <c r="F5" s="73">
        <v>5277374.15</v>
      </c>
      <c r="G5" s="73">
        <v>443169.18</v>
      </c>
      <c r="H5" s="73">
        <v>4375221.64</v>
      </c>
      <c r="I5" s="73">
        <v>623561.91</v>
      </c>
      <c r="J5" s="77">
        <f>C5-SUM(D5:I5)</f>
        <v>53616919.43000001</v>
      </c>
      <c r="K5" s="71">
        <f>SUM(D5:I5)</f>
        <v>10856185.45</v>
      </c>
      <c r="L5" s="72">
        <f>C5-K5</f>
        <v>53616919.43000001</v>
      </c>
      <c r="M5" s="73">
        <v>5484101.88</v>
      </c>
      <c r="N5" s="73">
        <v>2814192.33</v>
      </c>
      <c r="O5" s="73">
        <v>5399457.05</v>
      </c>
      <c r="P5" s="73">
        <f>1001399.85+2534017.95</f>
        <v>3535417.8000000003</v>
      </c>
      <c r="Q5" s="73">
        <v>5605829.58</v>
      </c>
      <c r="R5" s="73">
        <v>1819850.42</v>
      </c>
      <c r="S5" s="77">
        <f>L5-SUM(M5:R5)</f>
        <v>28958070.370000005</v>
      </c>
      <c r="T5" s="71">
        <f>SUM(M5:R5)</f>
        <v>24658849.060000002</v>
      </c>
      <c r="U5" s="153">
        <f>L5-T5</f>
        <v>28958070.370000005</v>
      </c>
      <c r="V5" s="73">
        <f>3426477.29-192549.06</f>
        <v>3233928.23</v>
      </c>
      <c r="W5" s="73">
        <v>642188.69</v>
      </c>
      <c r="X5" s="73">
        <v>2747420.9</v>
      </c>
      <c r="Y5" s="73">
        <v>40000</v>
      </c>
      <c r="Z5" s="73">
        <v>2497175.1</v>
      </c>
      <c r="AA5" s="73">
        <v>334894.49</v>
      </c>
      <c r="AB5" s="77">
        <f>U5-SUM(V5:AA5)</f>
        <v>19462462.960000005</v>
      </c>
      <c r="AC5" s="71">
        <f>SUM(V5:AA5)</f>
        <v>9495607.41</v>
      </c>
      <c r="AD5" s="72">
        <f>U5-AC5</f>
        <v>19462462.960000005</v>
      </c>
      <c r="AE5" s="73">
        <v>3528507.51</v>
      </c>
      <c r="AF5" s="73">
        <v>174856.1</v>
      </c>
      <c r="AG5" s="73">
        <v>3778618.88</v>
      </c>
      <c r="AH5" s="73">
        <v>663002.73</v>
      </c>
      <c r="AI5" s="73">
        <v>5010458.76</v>
      </c>
      <c r="AJ5" s="78"/>
      <c r="AK5" s="73">
        <v>6284118.98</v>
      </c>
      <c r="AL5" s="73">
        <v>22900</v>
      </c>
      <c r="AM5" s="77">
        <f>AD5-SUM(AE5:AL5)</f>
        <v>0</v>
      </c>
      <c r="AN5" s="71">
        <f>SUM(AE5:AK5)</f>
        <v>19439562.96</v>
      </c>
      <c r="AO5" s="71">
        <f>K5+T5+AC5+AN5</f>
        <v>64450204.88</v>
      </c>
      <c r="AP5" s="71">
        <f>(K5+T5+AC5+AN5)/C5*100</f>
        <v>99.96448131349868</v>
      </c>
      <c r="AQ5" s="128"/>
      <c r="AR5" s="129"/>
      <c r="AS5" s="129"/>
      <c r="AT5" s="130"/>
      <c r="AU5" s="112"/>
      <c r="AV5" s="130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s="75" customFormat="1" ht="19.5" customHeight="1">
      <c r="A6" s="87" t="s">
        <v>96</v>
      </c>
      <c r="B6" s="88">
        <v>266</v>
      </c>
      <c r="C6" s="76">
        <v>313595.12</v>
      </c>
      <c r="D6" s="73"/>
      <c r="E6" s="73"/>
      <c r="F6" s="73"/>
      <c r="G6" s="73"/>
      <c r="H6" s="73"/>
      <c r="I6" s="73"/>
      <c r="J6" s="77">
        <f>C6-SUM(D6:I6)</f>
        <v>313595.12</v>
      </c>
      <c r="K6" s="71">
        <f>SUM(D6:I6)</f>
        <v>0</v>
      </c>
      <c r="L6" s="72">
        <f>C6-K6</f>
        <v>313595.12</v>
      </c>
      <c r="M6" s="73"/>
      <c r="N6" s="73"/>
      <c r="O6" s="73"/>
      <c r="P6" s="73"/>
      <c r="Q6" s="73"/>
      <c r="R6" s="73"/>
      <c r="S6" s="77">
        <f>L6-SUM(M6:R6)</f>
        <v>313595.12</v>
      </c>
      <c r="T6" s="71">
        <f>SUM(M6:R6)</f>
        <v>0</v>
      </c>
      <c r="U6" s="153">
        <f>L6-T6</f>
        <v>313595.12</v>
      </c>
      <c r="V6" s="73">
        <v>192549.06</v>
      </c>
      <c r="W6" s="73"/>
      <c r="X6" s="73"/>
      <c r="Y6" s="73"/>
      <c r="Z6" s="73"/>
      <c r="AA6" s="73"/>
      <c r="AB6" s="77">
        <f>U6-SUM(V6:AA6)</f>
        <v>121046.06</v>
      </c>
      <c r="AC6" s="71">
        <f>SUM(V6:AA6)</f>
        <v>192549.06</v>
      </c>
      <c r="AD6" s="72">
        <f>U6-AC6</f>
        <v>121046.06</v>
      </c>
      <c r="AE6" s="73">
        <v>37712.41</v>
      </c>
      <c r="AF6" s="73"/>
      <c r="AG6" s="73">
        <v>45573.67</v>
      </c>
      <c r="AH6" s="73"/>
      <c r="AI6" s="73">
        <v>11554.68</v>
      </c>
      <c r="AJ6" s="78"/>
      <c r="AK6" s="73">
        <v>26205.3</v>
      </c>
      <c r="AL6" s="73"/>
      <c r="AM6" s="77">
        <f>AD6-SUM(AE6:AL6)</f>
        <v>0</v>
      </c>
      <c r="AN6" s="71">
        <f>SUM(AE6:AK6)</f>
        <v>121046.06000000001</v>
      </c>
      <c r="AO6" s="71">
        <f>K6+T6+AC6+AN6</f>
        <v>313595.12</v>
      </c>
      <c r="AP6" s="71">
        <f>(K6+T6+AC6+AN6)/C6*100</f>
        <v>100</v>
      </c>
      <c r="AQ6" s="128"/>
      <c r="AR6" s="129"/>
      <c r="AS6" s="129"/>
      <c r="AT6" s="130"/>
      <c r="AU6" s="112"/>
      <c r="AV6" s="130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s="86" customFormat="1" ht="18" customHeight="1">
      <c r="A7" s="80" t="s">
        <v>25</v>
      </c>
      <c r="B7" s="81"/>
      <c r="C7" s="82">
        <f>SUM(C8)</f>
        <v>18885000</v>
      </c>
      <c r="D7" s="184"/>
      <c r="E7" s="184"/>
      <c r="F7" s="184"/>
      <c r="G7" s="184"/>
      <c r="H7" s="184"/>
      <c r="I7" s="184"/>
      <c r="J7" s="184"/>
      <c r="K7" s="184"/>
      <c r="L7" s="82"/>
      <c r="M7" s="83"/>
      <c r="N7" s="83"/>
      <c r="O7" s="83"/>
      <c r="P7" s="83"/>
      <c r="Q7" s="83"/>
      <c r="R7" s="83"/>
      <c r="S7" s="84"/>
      <c r="T7" s="84"/>
      <c r="U7" s="82"/>
      <c r="V7" s="83"/>
      <c r="W7" s="83"/>
      <c r="X7" s="83"/>
      <c r="Y7" s="83"/>
      <c r="Z7" s="83"/>
      <c r="AA7" s="83"/>
      <c r="AB7" s="84"/>
      <c r="AC7" s="84"/>
      <c r="AD7" s="82"/>
      <c r="AE7" s="83"/>
      <c r="AF7" s="83"/>
      <c r="AG7" s="83"/>
      <c r="AH7" s="83"/>
      <c r="AI7" s="83"/>
      <c r="AJ7" s="85"/>
      <c r="AK7" s="85"/>
      <c r="AL7" s="85"/>
      <c r="AM7" s="103"/>
      <c r="AN7" s="84"/>
      <c r="AO7" s="84"/>
      <c r="AP7" s="84"/>
      <c r="AQ7" s="117"/>
      <c r="AR7" s="127"/>
      <c r="AS7" s="12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75" customFormat="1" ht="19.5" customHeight="1">
      <c r="A8" s="89" t="s">
        <v>17</v>
      </c>
      <c r="B8" s="90">
        <v>213</v>
      </c>
      <c r="C8" s="68">
        <f>18831800+693300-544700-37800-31600-22900-2900-200</f>
        <v>18885000</v>
      </c>
      <c r="D8" s="73"/>
      <c r="E8" s="73"/>
      <c r="F8" s="73">
        <v>1612194.8800000001</v>
      </c>
      <c r="G8" s="73">
        <v>0.02</v>
      </c>
      <c r="H8" s="73">
        <v>1473110.42</v>
      </c>
      <c r="I8" s="73"/>
      <c r="J8" s="70">
        <f>C8-SUM(D8:I8)</f>
        <v>15799694.68</v>
      </c>
      <c r="K8" s="71">
        <f>SUM(D8:I8)</f>
        <v>3085305.3200000003</v>
      </c>
      <c r="L8" s="72">
        <f>C8-K8</f>
        <v>15799694.68</v>
      </c>
      <c r="M8" s="69">
        <v>1832550.65</v>
      </c>
      <c r="N8" s="69"/>
      <c r="O8" s="69">
        <v>2460373.6</v>
      </c>
      <c r="P8" s="69"/>
      <c r="Q8" s="73">
        <v>2742212.43</v>
      </c>
      <c r="R8" s="73"/>
      <c r="S8" s="70">
        <f>L8-SUM(M8:R8)</f>
        <v>8764558</v>
      </c>
      <c r="T8" s="71">
        <f>SUM(M8:R8)</f>
        <v>7035136.68</v>
      </c>
      <c r="U8" s="153">
        <f>L8-T8</f>
        <v>8764558</v>
      </c>
      <c r="V8" s="69">
        <v>1569757.22</v>
      </c>
      <c r="W8" s="69">
        <v>3182.5</v>
      </c>
      <c r="X8" s="73">
        <v>1005500.23</v>
      </c>
      <c r="Y8" s="73"/>
      <c r="Z8" s="73">
        <v>796784.5</v>
      </c>
      <c r="AA8" s="69">
        <v>32.9</v>
      </c>
      <c r="AB8" s="70">
        <f>U8-SUM(V8:AA8)</f>
        <v>5389300.65</v>
      </c>
      <c r="AC8" s="71">
        <f>SUM(V8:AA8)</f>
        <v>3375257.35</v>
      </c>
      <c r="AD8" s="72">
        <f>U8-AC8</f>
        <v>5389300.65</v>
      </c>
      <c r="AE8" s="73">
        <v>1139288.02</v>
      </c>
      <c r="AF8" s="73"/>
      <c r="AG8" s="69">
        <v>1122323.46</v>
      </c>
      <c r="AH8" s="69"/>
      <c r="AI8" s="69">
        <v>1508359.16</v>
      </c>
      <c r="AJ8" s="74"/>
      <c r="AK8" s="74">
        <v>1645313.85</v>
      </c>
      <c r="AL8" s="74"/>
      <c r="AM8" s="70">
        <f>AD8-SUM(AE8:AL8)</f>
        <v>-25983.83999999985</v>
      </c>
      <c r="AN8" s="71">
        <f>SUM(AE8:AK8)</f>
        <v>5415284.49</v>
      </c>
      <c r="AO8" s="71">
        <f>K8+T8+AC8+AN8</f>
        <v>18910983.84</v>
      </c>
      <c r="AP8" s="71">
        <f>(K8+T8+AC8+AN8)/C8*100</f>
        <v>100.13758983320096</v>
      </c>
      <c r="AQ8" s="128"/>
      <c r="AR8" s="129"/>
      <c r="AS8" s="129"/>
      <c r="AT8" s="130"/>
      <c r="AU8" s="112"/>
      <c r="AV8" s="130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s="86" customFormat="1" ht="19.5" customHeight="1">
      <c r="A9" s="80" t="s">
        <v>53</v>
      </c>
      <c r="B9" s="81"/>
      <c r="C9" s="82">
        <f>SUM(C10:C12)</f>
        <v>11700</v>
      </c>
      <c r="D9" s="184"/>
      <c r="E9" s="184"/>
      <c r="F9" s="184"/>
      <c r="G9" s="184"/>
      <c r="H9" s="184"/>
      <c r="I9" s="184"/>
      <c r="J9" s="184"/>
      <c r="K9" s="184"/>
      <c r="L9" s="82"/>
      <c r="M9" s="83"/>
      <c r="N9" s="83"/>
      <c r="O9" s="83"/>
      <c r="P9" s="83"/>
      <c r="Q9" s="83"/>
      <c r="R9" s="83"/>
      <c r="S9" s="84"/>
      <c r="T9" s="84"/>
      <c r="U9" s="82"/>
      <c r="V9" s="83"/>
      <c r="W9" s="83"/>
      <c r="X9" s="83"/>
      <c r="Y9" s="83"/>
      <c r="Z9" s="83"/>
      <c r="AA9" s="83"/>
      <c r="AB9" s="84"/>
      <c r="AC9" s="84"/>
      <c r="AD9" s="82"/>
      <c r="AE9" s="83"/>
      <c r="AF9" s="83"/>
      <c r="AG9" s="83"/>
      <c r="AH9" s="83"/>
      <c r="AI9" s="83"/>
      <c r="AJ9" s="85"/>
      <c r="AK9" s="85"/>
      <c r="AL9" s="85"/>
      <c r="AM9" s="103"/>
      <c r="AN9" s="84"/>
      <c r="AO9" s="84"/>
      <c r="AP9" s="84"/>
      <c r="AQ9" s="117"/>
      <c r="AR9" s="127"/>
      <c r="AS9" s="12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48" ht="28.5" customHeight="1">
      <c r="A10" s="92" t="s">
        <v>49</v>
      </c>
      <c r="B10" s="91">
        <v>212</v>
      </c>
      <c r="C10" s="17">
        <f>8700-8700</f>
        <v>0</v>
      </c>
      <c r="D10" s="18"/>
      <c r="E10" s="18"/>
      <c r="F10" s="18"/>
      <c r="G10" s="18"/>
      <c r="H10" s="18"/>
      <c r="I10" s="18"/>
      <c r="J10" s="19">
        <f aca="true" t="shared" si="0" ref="J10:J29">C10-SUM(D10:I10)</f>
        <v>0</v>
      </c>
      <c r="K10" s="20">
        <f>SUM(D10:I10)</f>
        <v>0</v>
      </c>
      <c r="L10" s="21">
        <f aca="true" t="shared" si="1" ref="L10:L28">C10-K10</f>
        <v>0</v>
      </c>
      <c r="M10" s="18"/>
      <c r="N10" s="18"/>
      <c r="O10" s="18"/>
      <c r="P10" s="18"/>
      <c r="Q10" s="18"/>
      <c r="R10" s="18"/>
      <c r="S10" s="19">
        <f aca="true" t="shared" si="2" ref="S10:S28">L10-SUM(M10:R10)</f>
        <v>0</v>
      </c>
      <c r="T10" s="20">
        <f aca="true" t="shared" si="3" ref="T10:T28">SUM(M10:R10)</f>
        <v>0</v>
      </c>
      <c r="U10" s="65">
        <f aca="true" t="shared" si="4" ref="U10:U28">L10-T10</f>
        <v>0</v>
      </c>
      <c r="V10" s="18"/>
      <c r="W10" s="18"/>
      <c r="X10" s="18"/>
      <c r="Y10" s="18"/>
      <c r="Z10" s="18"/>
      <c r="AA10" s="18"/>
      <c r="AB10" s="19">
        <f aca="true" t="shared" si="5" ref="AB10:AB25">U10-SUM(V10:AA10)</f>
        <v>0</v>
      </c>
      <c r="AC10" s="20">
        <f aca="true" t="shared" si="6" ref="AC10:AC28">SUM(V10:AA10)</f>
        <v>0</v>
      </c>
      <c r="AD10" s="21">
        <f aca="true" t="shared" si="7" ref="AD10:AD28">U10-AC10</f>
        <v>0</v>
      </c>
      <c r="AE10" s="18"/>
      <c r="AF10" s="18"/>
      <c r="AG10" s="18"/>
      <c r="AH10" s="18"/>
      <c r="AI10" s="18"/>
      <c r="AJ10" s="22"/>
      <c r="AK10" s="22"/>
      <c r="AL10" s="22"/>
      <c r="AM10" s="19">
        <f aca="true" t="shared" si="8" ref="AM10:AM44">AD10-SUM(AE10:AL10)</f>
        <v>0</v>
      </c>
      <c r="AN10" s="20">
        <f>SUM(AE10:AK10)</f>
        <v>0</v>
      </c>
      <c r="AO10" s="20">
        <f aca="true" t="shared" si="9" ref="AO10:AO44">K10+T10+AC10+AN10</f>
        <v>0</v>
      </c>
      <c r="AP10" s="20" t="e">
        <f aca="true" t="shared" si="10" ref="AP10:AP44">(K10+T10+AC10+AN10)/C10*100</f>
        <v>#DIV/0!</v>
      </c>
      <c r="AQ10" s="131"/>
      <c r="AR10" s="132"/>
      <c r="AS10" s="132"/>
      <c r="AT10" s="133"/>
      <c r="AV10" s="133"/>
    </row>
    <row r="11" spans="1:256" ht="18.75" customHeight="1">
      <c r="A11" s="94" t="s">
        <v>51</v>
      </c>
      <c r="B11" s="91">
        <v>222</v>
      </c>
      <c r="C11" s="66"/>
      <c r="D11" s="22"/>
      <c r="E11" s="22"/>
      <c r="F11" s="22"/>
      <c r="G11" s="22">
        <v>30000</v>
      </c>
      <c r="H11" s="22">
        <v>-30000</v>
      </c>
      <c r="I11" s="22"/>
      <c r="J11" s="19">
        <f>C11-SUM(D11:I11)</f>
        <v>0</v>
      </c>
      <c r="K11" s="20">
        <f>SUM(D11:I11)</f>
        <v>0</v>
      </c>
      <c r="L11" s="65">
        <f t="shared" si="1"/>
        <v>0</v>
      </c>
      <c r="M11" s="22"/>
      <c r="N11" s="22"/>
      <c r="O11" s="22"/>
      <c r="P11" s="22"/>
      <c r="Q11" s="22"/>
      <c r="R11" s="22"/>
      <c r="S11" s="19">
        <f>L11-SUM(M11:R11)</f>
        <v>0</v>
      </c>
      <c r="T11" s="20">
        <f t="shared" si="3"/>
        <v>0</v>
      </c>
      <c r="U11" s="65">
        <f t="shared" si="4"/>
        <v>0</v>
      </c>
      <c r="V11" s="18"/>
      <c r="W11" s="18"/>
      <c r="X11" s="18"/>
      <c r="Y11" s="18"/>
      <c r="Z11" s="18"/>
      <c r="AA11" s="18"/>
      <c r="AB11" s="19">
        <f t="shared" si="5"/>
        <v>0</v>
      </c>
      <c r="AC11" s="20">
        <f t="shared" si="6"/>
        <v>0</v>
      </c>
      <c r="AD11" s="65">
        <f t="shared" si="7"/>
        <v>0</v>
      </c>
      <c r="AE11" s="22"/>
      <c r="AF11" s="22"/>
      <c r="AG11" s="22"/>
      <c r="AH11" s="22"/>
      <c r="AI11" s="22"/>
      <c r="AJ11" s="22"/>
      <c r="AK11" s="22"/>
      <c r="AL11" s="67"/>
      <c r="AM11" s="19">
        <f t="shared" si="8"/>
        <v>0</v>
      </c>
      <c r="AN11" s="20">
        <f>SUM(AE11:AK11)</f>
        <v>0</v>
      </c>
      <c r="AO11" s="20">
        <f t="shared" si="9"/>
        <v>0</v>
      </c>
      <c r="AP11" s="20" t="e">
        <f t="shared" si="10"/>
        <v>#DIV/0!</v>
      </c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s="79" customFormat="1" ht="26.25" customHeight="1">
      <c r="A12" s="94" t="s">
        <v>52</v>
      </c>
      <c r="B12" s="91">
        <v>226</v>
      </c>
      <c r="C12" s="68">
        <v>11700</v>
      </c>
      <c r="D12" s="69"/>
      <c r="E12" s="69"/>
      <c r="F12" s="69"/>
      <c r="G12" s="69"/>
      <c r="H12" s="69"/>
      <c r="I12" s="69"/>
      <c r="J12" s="70">
        <f>C12-SUM(D12:I12)</f>
        <v>11700</v>
      </c>
      <c r="K12" s="71">
        <f>SUM(D12:I12)</f>
        <v>0</v>
      </c>
      <c r="L12" s="101">
        <f>C12-K12</f>
        <v>11700</v>
      </c>
      <c r="M12" s="69"/>
      <c r="N12" s="69">
        <v>11680</v>
      </c>
      <c r="O12" s="69"/>
      <c r="P12" s="69"/>
      <c r="Q12" s="69"/>
      <c r="R12" s="69"/>
      <c r="S12" s="70">
        <f>L12-SUM(M12:R12)</f>
        <v>20</v>
      </c>
      <c r="T12" s="71">
        <f>SUM(M12:R12)</f>
        <v>11680</v>
      </c>
      <c r="U12" s="153">
        <f>L12-T12</f>
        <v>20</v>
      </c>
      <c r="V12" s="69"/>
      <c r="W12" s="73"/>
      <c r="X12" s="73"/>
      <c r="Y12" s="73"/>
      <c r="Z12" s="73"/>
      <c r="AA12" s="69"/>
      <c r="AB12" s="70">
        <f>U12-SUM(V12:AA12)</f>
        <v>20</v>
      </c>
      <c r="AC12" s="71">
        <f>SUM(V12:AA12)</f>
        <v>0</v>
      </c>
      <c r="AD12" s="72">
        <f>U12-AC12</f>
        <v>20</v>
      </c>
      <c r="AE12" s="69"/>
      <c r="AF12" s="69"/>
      <c r="AG12" s="69"/>
      <c r="AH12" s="69"/>
      <c r="AI12" s="69"/>
      <c r="AJ12" s="74"/>
      <c r="AK12" s="74"/>
      <c r="AL12" s="74"/>
      <c r="AM12" s="70">
        <f>AD12-SUM(AE12:AL12)</f>
        <v>20</v>
      </c>
      <c r="AN12" s="71">
        <f>SUM(AE12:AK12)</f>
        <v>0</v>
      </c>
      <c r="AO12" s="71">
        <f>K12+T12+AC12+AN12</f>
        <v>11680</v>
      </c>
      <c r="AP12" s="71">
        <f>(K12+T12+AC12+AN12)/C12*100</f>
        <v>99.82905982905983</v>
      </c>
      <c r="AQ12" s="128"/>
      <c r="AR12" s="129"/>
      <c r="AS12" s="129"/>
      <c r="AT12" s="130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s="86" customFormat="1" ht="19.5" customHeight="1">
      <c r="A13" s="80" t="s">
        <v>24</v>
      </c>
      <c r="B13" s="81"/>
      <c r="C13" s="82">
        <f>SUM(C14:C30)</f>
        <v>17721900</v>
      </c>
      <c r="D13" s="184"/>
      <c r="E13" s="184"/>
      <c r="F13" s="184"/>
      <c r="G13" s="184"/>
      <c r="H13" s="184"/>
      <c r="I13" s="184"/>
      <c r="J13" s="184"/>
      <c r="K13" s="184"/>
      <c r="L13" s="106"/>
      <c r="M13" s="83"/>
      <c r="N13" s="83"/>
      <c r="O13" s="83"/>
      <c r="P13" s="83"/>
      <c r="Q13" s="83"/>
      <c r="R13" s="83"/>
      <c r="S13" s="84"/>
      <c r="T13" s="84"/>
      <c r="U13" s="82"/>
      <c r="V13" s="83"/>
      <c r="W13" s="83"/>
      <c r="X13" s="83"/>
      <c r="Y13" s="83"/>
      <c r="Z13" s="83"/>
      <c r="AA13" s="83"/>
      <c r="AB13" s="84"/>
      <c r="AC13" s="84"/>
      <c r="AD13" s="82"/>
      <c r="AE13" s="83"/>
      <c r="AF13" s="83"/>
      <c r="AG13" s="83"/>
      <c r="AH13" s="83"/>
      <c r="AI13" s="83"/>
      <c r="AJ13" s="85"/>
      <c r="AK13" s="85"/>
      <c r="AL13" s="85"/>
      <c r="AM13" s="103"/>
      <c r="AN13" s="84"/>
      <c r="AO13" s="84"/>
      <c r="AP13" s="84"/>
      <c r="AQ13" s="117"/>
      <c r="AR13" s="127"/>
      <c r="AS13" s="12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s="75" customFormat="1" ht="18" customHeight="1">
      <c r="A14" s="89" t="s">
        <v>18</v>
      </c>
      <c r="B14" s="90">
        <v>221</v>
      </c>
      <c r="C14" s="68">
        <f>52300-13200-6700</f>
        <v>32400</v>
      </c>
      <c r="D14" s="73"/>
      <c r="E14" s="73"/>
      <c r="F14" s="73"/>
      <c r="G14" s="73">
        <v>3131.32</v>
      </c>
      <c r="H14" s="73"/>
      <c r="I14" s="73">
        <f>3025.28+99.54</f>
        <v>3124.82</v>
      </c>
      <c r="J14" s="77">
        <f t="shared" si="0"/>
        <v>26143.86</v>
      </c>
      <c r="K14" s="71">
        <f>SUM(D14:I14)</f>
        <v>6256.14</v>
      </c>
      <c r="L14" s="72">
        <f t="shared" si="1"/>
        <v>26143.86</v>
      </c>
      <c r="M14" s="73"/>
      <c r="N14" s="73">
        <v>3352.54</v>
      </c>
      <c r="O14" s="73"/>
      <c r="P14" s="73">
        <v>2715.08</v>
      </c>
      <c r="Q14" s="73"/>
      <c r="R14" s="73">
        <f>2943.7</f>
        <v>2943.7</v>
      </c>
      <c r="S14" s="77">
        <f t="shared" si="2"/>
        <v>17132.54</v>
      </c>
      <c r="T14" s="71">
        <f t="shared" si="3"/>
        <v>9011.32</v>
      </c>
      <c r="U14" s="153">
        <f t="shared" si="4"/>
        <v>17132.54</v>
      </c>
      <c r="V14" s="73"/>
      <c r="W14" s="73">
        <f>3017.94+623.7</f>
        <v>3641.6400000000003</v>
      </c>
      <c r="X14" s="73"/>
      <c r="Y14" s="73">
        <f>151.2+2933.58</f>
        <v>3084.7799999999997</v>
      </c>
      <c r="Z14" s="73"/>
      <c r="AA14" s="73">
        <f>298.62+2949.89</f>
        <v>3248.5099999999998</v>
      </c>
      <c r="AB14" s="77">
        <f t="shared" si="5"/>
        <v>7157.610000000001</v>
      </c>
      <c r="AC14" s="71">
        <f t="shared" si="6"/>
        <v>9974.93</v>
      </c>
      <c r="AD14" s="72">
        <f t="shared" si="7"/>
        <v>7157.610000000001</v>
      </c>
      <c r="AE14" s="73"/>
      <c r="AF14" s="73">
        <f>3038.5+18.9</f>
        <v>3057.4</v>
      </c>
      <c r="AG14" s="73"/>
      <c r="AH14" s="73">
        <f>378+3645.12</f>
        <v>4023.12</v>
      </c>
      <c r="AI14" s="73"/>
      <c r="AJ14" s="78"/>
      <c r="AK14" s="78">
        <f>61.74</f>
        <v>61.74</v>
      </c>
      <c r="AL14" s="78"/>
      <c r="AM14" s="77">
        <f t="shared" si="8"/>
        <v>15.350000000000364</v>
      </c>
      <c r="AN14" s="71">
        <f aca="true" t="shared" si="11" ref="AN14:AN21">SUM(AE14:AK14)</f>
        <v>7142.26</v>
      </c>
      <c r="AO14" s="71">
        <f t="shared" si="9"/>
        <v>32384.65</v>
      </c>
      <c r="AP14" s="71">
        <f t="shared" si="10"/>
        <v>99.95262345679012</v>
      </c>
      <c r="AQ14" s="128"/>
      <c r="AR14" s="129"/>
      <c r="AS14" s="129"/>
      <c r="AT14" s="130"/>
      <c r="AU14" s="112"/>
      <c r="AV14" s="128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s="79" customFormat="1" ht="18" customHeight="1">
      <c r="A15" s="92" t="s">
        <v>19</v>
      </c>
      <c r="B15" s="93">
        <v>222</v>
      </c>
      <c r="C15" s="68">
        <f>285800+22100+2900+200+40</f>
        <v>311040</v>
      </c>
      <c r="D15" s="73"/>
      <c r="E15" s="69"/>
      <c r="F15" s="69"/>
      <c r="G15" s="69"/>
      <c r="H15" s="69">
        <f>86924.96+101533.84</f>
        <v>188458.8</v>
      </c>
      <c r="I15" s="69"/>
      <c r="J15" s="70">
        <f>C15-SUM(D15:I15)</f>
        <v>122581.20000000001</v>
      </c>
      <c r="K15" s="71">
        <f aca="true" t="shared" si="12" ref="K15:K27">SUM(D15:I15)</f>
        <v>188458.8</v>
      </c>
      <c r="L15" s="72">
        <f>C15-K15</f>
        <v>122581.20000000001</v>
      </c>
      <c r="M15" s="69"/>
      <c r="N15" s="69">
        <v>18000</v>
      </c>
      <c r="O15" s="69"/>
      <c r="P15" s="69"/>
      <c r="Q15" s="69"/>
      <c r="R15" s="69"/>
      <c r="S15" s="70">
        <f>L15-SUM(M15:R15)</f>
        <v>104581.20000000001</v>
      </c>
      <c r="T15" s="71">
        <f>SUM(M15:R15)</f>
        <v>18000</v>
      </c>
      <c r="U15" s="153">
        <f>L15-T15</f>
        <v>104581.20000000001</v>
      </c>
      <c r="V15" s="69">
        <v>79312.94</v>
      </c>
      <c r="W15" s="73">
        <v>22081.78</v>
      </c>
      <c r="X15" s="73"/>
      <c r="Y15" s="73"/>
      <c r="Z15" s="73"/>
      <c r="AA15" s="69"/>
      <c r="AB15" s="70">
        <f>U15-SUM(V15:AA15)</f>
        <v>3186.4800000000105</v>
      </c>
      <c r="AC15" s="71">
        <f>SUM(V15:AA15)</f>
        <v>101394.72</v>
      </c>
      <c r="AD15" s="72">
        <f>U15-AC15</f>
        <v>3186.4800000000105</v>
      </c>
      <c r="AE15" s="69"/>
      <c r="AF15" s="69">
        <v>3182.5</v>
      </c>
      <c r="AG15" s="69"/>
      <c r="AH15" s="69"/>
      <c r="AI15" s="69"/>
      <c r="AJ15" s="74"/>
      <c r="AK15" s="74"/>
      <c r="AL15" s="74"/>
      <c r="AM15" s="70">
        <f>AD15-SUM(AE15:AL15)</f>
        <v>3.9800000000104774</v>
      </c>
      <c r="AN15" s="71">
        <f t="shared" si="11"/>
        <v>3182.5</v>
      </c>
      <c r="AO15" s="71">
        <f>K15+T15+AC15+AN15</f>
        <v>311036.02</v>
      </c>
      <c r="AP15" s="71">
        <f>(K15+T15+AC15+AN15)/C15*100</f>
        <v>99.9987204218107</v>
      </c>
      <c r="AQ15" s="128"/>
      <c r="AR15" s="129"/>
      <c r="AS15" s="129"/>
      <c r="AT15" s="130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s="79" customFormat="1" ht="18" customHeight="1" collapsed="1">
      <c r="A16" s="92" t="s">
        <v>56</v>
      </c>
      <c r="B16" s="93">
        <v>225</v>
      </c>
      <c r="C16" s="68">
        <f>351100-22100-88700-240300</f>
        <v>0</v>
      </c>
      <c r="D16" s="73"/>
      <c r="E16" s="69"/>
      <c r="F16" s="69"/>
      <c r="G16" s="69"/>
      <c r="H16" s="69"/>
      <c r="I16" s="69"/>
      <c r="J16" s="70">
        <f t="shared" si="0"/>
        <v>0</v>
      </c>
      <c r="K16" s="71">
        <f t="shared" si="12"/>
        <v>0</v>
      </c>
      <c r="L16" s="72">
        <f t="shared" si="1"/>
        <v>0</v>
      </c>
      <c r="M16" s="69"/>
      <c r="N16" s="69"/>
      <c r="O16" s="69"/>
      <c r="P16" s="69"/>
      <c r="Q16" s="69"/>
      <c r="R16" s="69"/>
      <c r="S16" s="70">
        <f t="shared" si="2"/>
        <v>0</v>
      </c>
      <c r="T16" s="71">
        <f t="shared" si="3"/>
        <v>0</v>
      </c>
      <c r="U16" s="153">
        <f t="shared" si="4"/>
        <v>0</v>
      </c>
      <c r="V16" s="69"/>
      <c r="W16" s="73"/>
      <c r="X16" s="73"/>
      <c r="Y16" s="73"/>
      <c r="Z16" s="73"/>
      <c r="AA16" s="69"/>
      <c r="AB16" s="70">
        <f t="shared" si="5"/>
        <v>0</v>
      </c>
      <c r="AC16" s="71">
        <f t="shared" si="6"/>
        <v>0</v>
      </c>
      <c r="AD16" s="72">
        <f t="shared" si="7"/>
        <v>0</v>
      </c>
      <c r="AE16" s="69"/>
      <c r="AF16" s="73"/>
      <c r="AG16" s="69"/>
      <c r="AH16" s="69"/>
      <c r="AI16" s="69"/>
      <c r="AJ16" s="74"/>
      <c r="AK16" s="74"/>
      <c r="AL16" s="74"/>
      <c r="AM16" s="70">
        <f t="shared" si="8"/>
        <v>0</v>
      </c>
      <c r="AN16" s="71">
        <f t="shared" si="11"/>
        <v>0</v>
      </c>
      <c r="AO16" s="71">
        <f t="shared" si="9"/>
        <v>0</v>
      </c>
      <c r="AP16" s="71" t="e">
        <f t="shared" si="10"/>
        <v>#DIV/0!</v>
      </c>
      <c r="AQ16" s="128"/>
      <c r="AR16" s="129"/>
      <c r="AS16" s="129"/>
      <c r="AT16" s="130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s="79" customFormat="1" ht="18" customHeight="1" collapsed="1">
      <c r="A17" s="94" t="s">
        <v>72</v>
      </c>
      <c r="B17" s="310">
        <v>226</v>
      </c>
      <c r="C17" s="68">
        <f>824000-46958.8-11700-130000-365018.85+13200-48</f>
        <v>283474.35</v>
      </c>
      <c r="D17" s="73"/>
      <c r="E17" s="69">
        <f>6324.8+9345.6</f>
        <v>15670.400000000001</v>
      </c>
      <c r="F17" s="69"/>
      <c r="G17" s="69">
        <f>39195+7900+4992+30108.29</f>
        <v>82195.29000000001</v>
      </c>
      <c r="H17" s="69">
        <f>70686</f>
        <v>70686</v>
      </c>
      <c r="I17" s="69"/>
      <c r="J17" s="70">
        <f t="shared" si="0"/>
        <v>114922.65999999997</v>
      </c>
      <c r="K17" s="71">
        <f t="shared" si="12"/>
        <v>168551.69</v>
      </c>
      <c r="L17" s="72">
        <f t="shared" si="1"/>
        <v>114922.65999999997</v>
      </c>
      <c r="M17" s="69">
        <v>3840</v>
      </c>
      <c r="N17" s="69">
        <v>6816</v>
      </c>
      <c r="O17" s="69">
        <f>3500+14244</f>
        <v>17744</v>
      </c>
      <c r="P17" s="69">
        <f>9216</f>
        <v>9216</v>
      </c>
      <c r="Q17" s="73"/>
      <c r="R17" s="73"/>
      <c r="S17" s="70">
        <f t="shared" si="2"/>
        <v>77306.65999999997</v>
      </c>
      <c r="T17" s="71">
        <f t="shared" si="3"/>
        <v>37616</v>
      </c>
      <c r="U17" s="153">
        <f t="shared" si="4"/>
        <v>77306.65999999997</v>
      </c>
      <c r="V17" s="69">
        <v>39594.66</v>
      </c>
      <c r="W17" s="73">
        <v>4128</v>
      </c>
      <c r="X17" s="73"/>
      <c r="Y17" s="73"/>
      <c r="Z17" s="73"/>
      <c r="AA17" s="69"/>
      <c r="AB17" s="70">
        <f t="shared" si="5"/>
        <v>33583.99999999997</v>
      </c>
      <c r="AC17" s="71">
        <f t="shared" si="6"/>
        <v>43722.66</v>
      </c>
      <c r="AD17" s="72">
        <f t="shared" si="7"/>
        <v>33583.99999999997</v>
      </c>
      <c r="AE17" s="69"/>
      <c r="AF17" s="73">
        <f>4032+12400+4000</f>
        <v>20432</v>
      </c>
      <c r="AG17" s="69"/>
      <c r="AH17" s="69"/>
      <c r="AI17" s="69"/>
      <c r="AJ17" s="74">
        <v>13152</v>
      </c>
      <c r="AK17" s="74"/>
      <c r="AL17" s="74"/>
      <c r="AM17" s="70">
        <f t="shared" si="8"/>
        <v>0</v>
      </c>
      <c r="AN17" s="71">
        <f t="shared" si="11"/>
        <v>33584</v>
      </c>
      <c r="AO17" s="71">
        <f t="shared" si="9"/>
        <v>283474.35</v>
      </c>
      <c r="AP17" s="71">
        <f t="shared" si="10"/>
        <v>100</v>
      </c>
      <c r="AQ17" s="128"/>
      <c r="AR17" s="129"/>
      <c r="AS17" s="129"/>
      <c r="AT17" s="130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s="79" customFormat="1" ht="18" customHeight="1">
      <c r="A18" s="94" t="s">
        <v>68</v>
      </c>
      <c r="B18" s="311"/>
      <c r="C18" s="68">
        <f>46958.8+365018.85+6700+544700+37800+200+48+31600</f>
        <v>1033025.6499999999</v>
      </c>
      <c r="D18" s="73"/>
      <c r="E18" s="69"/>
      <c r="F18" s="69"/>
      <c r="G18" s="69"/>
      <c r="H18" s="69"/>
      <c r="I18" s="69"/>
      <c r="J18" s="70">
        <f t="shared" si="0"/>
        <v>1033025.6499999999</v>
      </c>
      <c r="K18" s="71">
        <f t="shared" si="12"/>
        <v>0</v>
      </c>
      <c r="L18" s="72">
        <f t="shared" si="1"/>
        <v>1033025.6499999999</v>
      </c>
      <c r="M18" s="69"/>
      <c r="N18" s="69"/>
      <c r="O18" s="69"/>
      <c r="P18" s="69">
        <v>4965</v>
      </c>
      <c r="Q18" s="69">
        <f>7880.4</f>
        <v>7880.4</v>
      </c>
      <c r="R18" s="69">
        <f>5299+28814.4</f>
        <v>34113.4</v>
      </c>
      <c r="S18" s="70">
        <f t="shared" si="2"/>
        <v>986066.8499999999</v>
      </c>
      <c r="T18" s="71">
        <f t="shared" si="3"/>
        <v>46958.8</v>
      </c>
      <c r="U18" s="153">
        <f t="shared" si="4"/>
        <v>986066.8499999999</v>
      </c>
      <c r="V18" s="69"/>
      <c r="W18" s="69"/>
      <c r="X18" s="69"/>
      <c r="Y18" s="69"/>
      <c r="Z18" s="69"/>
      <c r="AA18" s="69"/>
      <c r="AB18" s="70">
        <f t="shared" si="5"/>
        <v>986066.8499999999</v>
      </c>
      <c r="AC18" s="71">
        <f t="shared" si="6"/>
        <v>0</v>
      </c>
      <c r="AD18" s="72">
        <f t="shared" si="7"/>
        <v>986066.8499999999</v>
      </c>
      <c r="AE18" s="69"/>
      <c r="AF18" s="69"/>
      <c r="AG18" s="69"/>
      <c r="AH18" s="69"/>
      <c r="AI18" s="69">
        <f>3868+361150.85</f>
        <v>365018.85</v>
      </c>
      <c r="AJ18" s="74"/>
      <c r="AK18" s="74">
        <f>508291.15+43014.39+10786+27356.46</f>
        <v>589448</v>
      </c>
      <c r="AL18" s="74">
        <v>31600</v>
      </c>
      <c r="AM18" s="70">
        <f t="shared" si="8"/>
        <v>0</v>
      </c>
      <c r="AN18" s="71">
        <f>SUM(AE18:AK18)</f>
        <v>954466.85</v>
      </c>
      <c r="AO18" s="71">
        <f t="shared" si="9"/>
        <v>1001425.65</v>
      </c>
      <c r="AP18" s="71">
        <f t="shared" si="10"/>
        <v>96.94102464929115</v>
      </c>
      <c r="AQ18" s="128"/>
      <c r="AR18" s="129"/>
      <c r="AS18" s="129"/>
      <c r="AT18" s="130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s="79" customFormat="1" ht="18" customHeight="1">
      <c r="A19" s="97" t="s">
        <v>57</v>
      </c>
      <c r="B19" s="98">
        <v>227</v>
      </c>
      <c r="C19" s="68"/>
      <c r="D19" s="73"/>
      <c r="E19" s="69"/>
      <c r="F19" s="69"/>
      <c r="G19" s="69"/>
      <c r="H19" s="69"/>
      <c r="I19" s="69"/>
      <c r="J19" s="70">
        <f>C19-SUM(D19:I19)</f>
        <v>0</v>
      </c>
      <c r="K19" s="71">
        <f>SUM(D19:I19)</f>
        <v>0</v>
      </c>
      <c r="L19" s="72">
        <f>C19-K19</f>
        <v>0</v>
      </c>
      <c r="M19" s="69"/>
      <c r="N19" s="69"/>
      <c r="O19" s="69"/>
      <c r="P19" s="69"/>
      <c r="Q19" s="69"/>
      <c r="R19" s="69"/>
      <c r="S19" s="70">
        <f>L19-SUM(M19:R19)</f>
        <v>0</v>
      </c>
      <c r="T19" s="71">
        <f>SUM(M19:R19)</f>
        <v>0</v>
      </c>
      <c r="U19" s="153">
        <f>L19-T19</f>
        <v>0</v>
      </c>
      <c r="V19" s="69"/>
      <c r="W19" s="69"/>
      <c r="X19" s="69"/>
      <c r="Y19" s="69"/>
      <c r="Z19" s="69"/>
      <c r="AA19" s="69"/>
      <c r="AB19" s="70">
        <f>U19-SUM(V19:AA19)</f>
        <v>0</v>
      </c>
      <c r="AC19" s="71">
        <f>SUM(V19:AA19)</f>
        <v>0</v>
      </c>
      <c r="AD19" s="72">
        <f>U19-AC19</f>
        <v>0</v>
      </c>
      <c r="AE19" s="69"/>
      <c r="AF19" s="69"/>
      <c r="AG19" s="69"/>
      <c r="AH19" s="69"/>
      <c r="AI19" s="69"/>
      <c r="AJ19" s="74"/>
      <c r="AK19" s="74"/>
      <c r="AL19" s="74"/>
      <c r="AM19" s="70">
        <f>AD19-SUM(AE19:AL19)</f>
        <v>0</v>
      </c>
      <c r="AN19" s="71">
        <f t="shared" si="11"/>
        <v>0</v>
      </c>
      <c r="AO19" s="71">
        <f>K19+T19+AC19+AN19</f>
        <v>0</v>
      </c>
      <c r="AP19" s="71" t="e">
        <f>(K19+T19+AC19+AN19)/C19*100</f>
        <v>#DIV/0!</v>
      </c>
      <c r="AQ19" s="128"/>
      <c r="AR19" s="129"/>
      <c r="AS19" s="129"/>
      <c r="AT19" s="130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s="79" customFormat="1" ht="18" customHeight="1">
      <c r="A20" s="97" t="s">
        <v>58</v>
      </c>
      <c r="B20" s="98">
        <v>228</v>
      </c>
      <c r="C20" s="68"/>
      <c r="D20" s="73"/>
      <c r="E20" s="69"/>
      <c r="F20" s="69"/>
      <c r="G20" s="69"/>
      <c r="H20" s="69"/>
      <c r="I20" s="69"/>
      <c r="J20" s="70">
        <f>C20-SUM(D20:I20)</f>
        <v>0</v>
      </c>
      <c r="K20" s="71">
        <f>SUM(D20:I20)</f>
        <v>0</v>
      </c>
      <c r="L20" s="72">
        <f>C20-K20</f>
        <v>0</v>
      </c>
      <c r="M20" s="69"/>
      <c r="N20" s="69"/>
      <c r="O20" s="69"/>
      <c r="P20" s="69"/>
      <c r="Q20" s="69"/>
      <c r="R20" s="69"/>
      <c r="S20" s="70">
        <f>L20-SUM(M20:R20)</f>
        <v>0</v>
      </c>
      <c r="T20" s="71">
        <f>SUM(M20:R20)</f>
        <v>0</v>
      </c>
      <c r="U20" s="153">
        <f>L20-T20</f>
        <v>0</v>
      </c>
      <c r="V20" s="69"/>
      <c r="W20" s="69"/>
      <c r="X20" s="69"/>
      <c r="Y20" s="69"/>
      <c r="Z20" s="69"/>
      <c r="AA20" s="69"/>
      <c r="AB20" s="70">
        <f>U20-SUM(V20:AA20)</f>
        <v>0</v>
      </c>
      <c r="AC20" s="71">
        <f>SUM(V20:AA20)</f>
        <v>0</v>
      </c>
      <c r="AD20" s="72">
        <f>U20-AC20</f>
        <v>0</v>
      </c>
      <c r="AE20" s="69"/>
      <c r="AF20" s="69"/>
      <c r="AG20" s="69"/>
      <c r="AH20" s="69"/>
      <c r="AI20" s="69"/>
      <c r="AJ20" s="74"/>
      <c r="AK20" s="74"/>
      <c r="AL20" s="74"/>
      <c r="AM20" s="70">
        <f>AD20-SUM(AE20:AL20)</f>
        <v>0</v>
      </c>
      <c r="AN20" s="71">
        <f t="shared" si="11"/>
        <v>0</v>
      </c>
      <c r="AO20" s="71">
        <f>K20+T20+AC20+AN20</f>
        <v>0</v>
      </c>
      <c r="AP20" s="71" t="e">
        <f>(K20+T20+AC20+AN20)/C20*100</f>
        <v>#DIV/0!</v>
      </c>
      <c r="AQ20" s="128"/>
      <c r="AR20" s="129"/>
      <c r="AS20" s="129"/>
      <c r="AT20" s="130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s="79" customFormat="1" ht="18" customHeight="1">
      <c r="A21" s="97" t="s">
        <v>59</v>
      </c>
      <c r="B21" s="308">
        <v>310</v>
      </c>
      <c r="C21" s="68">
        <f>87400-40</f>
        <v>87360</v>
      </c>
      <c r="D21" s="73"/>
      <c r="E21" s="69"/>
      <c r="F21" s="69"/>
      <c r="G21" s="69"/>
      <c r="H21" s="69"/>
      <c r="I21" s="69"/>
      <c r="J21" s="70">
        <f t="shared" si="0"/>
        <v>87360</v>
      </c>
      <c r="K21" s="71">
        <f t="shared" si="12"/>
        <v>0</v>
      </c>
      <c r="L21" s="72">
        <f t="shared" si="1"/>
        <v>87360</v>
      </c>
      <c r="M21" s="69"/>
      <c r="N21" s="69">
        <v>87340</v>
      </c>
      <c r="O21" s="69"/>
      <c r="P21" s="69"/>
      <c r="Q21" s="69"/>
      <c r="R21" s="69"/>
      <c r="S21" s="70">
        <f t="shared" si="2"/>
        <v>20</v>
      </c>
      <c r="T21" s="71">
        <f t="shared" si="3"/>
        <v>87340</v>
      </c>
      <c r="U21" s="153">
        <f t="shared" si="4"/>
        <v>20</v>
      </c>
      <c r="V21" s="69"/>
      <c r="W21" s="69"/>
      <c r="X21" s="69"/>
      <c r="Y21" s="69"/>
      <c r="Z21" s="69"/>
      <c r="AA21" s="69"/>
      <c r="AB21" s="70">
        <f t="shared" si="5"/>
        <v>20</v>
      </c>
      <c r="AC21" s="71">
        <f t="shared" si="6"/>
        <v>0</v>
      </c>
      <c r="AD21" s="72">
        <f t="shared" si="7"/>
        <v>20</v>
      </c>
      <c r="AE21" s="69"/>
      <c r="AF21" s="69"/>
      <c r="AG21" s="69"/>
      <c r="AH21" s="69"/>
      <c r="AI21" s="69"/>
      <c r="AJ21" s="74"/>
      <c r="AK21" s="74"/>
      <c r="AL21" s="74"/>
      <c r="AM21" s="70">
        <f t="shared" si="8"/>
        <v>20</v>
      </c>
      <c r="AN21" s="71">
        <f t="shared" si="11"/>
        <v>0</v>
      </c>
      <c r="AO21" s="71">
        <f t="shared" si="9"/>
        <v>87340</v>
      </c>
      <c r="AP21" s="71">
        <f t="shared" si="10"/>
        <v>99.97710622710623</v>
      </c>
      <c r="AQ21" s="128"/>
      <c r="AR21" s="129"/>
      <c r="AS21" s="129"/>
      <c r="AT21" s="130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</row>
    <row r="22" spans="1:256" s="75" customFormat="1" ht="28.5" customHeight="1">
      <c r="A22" s="97" t="s">
        <v>67</v>
      </c>
      <c r="B22" s="309"/>
      <c r="C22" s="68">
        <f>164500+205000-87400+240300+6000+130000-200</f>
        <v>658200</v>
      </c>
      <c r="D22" s="73"/>
      <c r="E22" s="73"/>
      <c r="F22" s="73"/>
      <c r="G22" s="73"/>
      <c r="H22" s="73"/>
      <c r="I22" s="73"/>
      <c r="J22" s="77">
        <f t="shared" si="0"/>
        <v>658200</v>
      </c>
      <c r="K22" s="71">
        <f t="shared" si="12"/>
        <v>0</v>
      </c>
      <c r="L22" s="72">
        <f t="shared" si="1"/>
        <v>658200</v>
      </c>
      <c r="M22" s="73"/>
      <c r="N22" s="73"/>
      <c r="O22" s="73"/>
      <c r="P22" s="73"/>
      <c r="Q22" s="73">
        <f>47394+28347+206330</f>
        <v>282071</v>
      </c>
      <c r="R22" s="73"/>
      <c r="S22" s="77">
        <f t="shared" si="2"/>
        <v>376129</v>
      </c>
      <c r="T22" s="71">
        <f t="shared" si="3"/>
        <v>282071</v>
      </c>
      <c r="U22" s="153">
        <f t="shared" si="4"/>
        <v>376129</v>
      </c>
      <c r="V22" s="73"/>
      <c r="W22" s="73"/>
      <c r="X22" s="73"/>
      <c r="Y22" s="73"/>
      <c r="Z22" s="73">
        <v>43164</v>
      </c>
      <c r="AA22" s="73">
        <v>261592</v>
      </c>
      <c r="AB22" s="77">
        <f t="shared" si="5"/>
        <v>71373</v>
      </c>
      <c r="AC22" s="71">
        <f t="shared" si="6"/>
        <v>304756</v>
      </c>
      <c r="AD22" s="72">
        <f t="shared" si="7"/>
        <v>71373</v>
      </c>
      <c r="AE22" s="73"/>
      <c r="AF22" s="73">
        <v>71360</v>
      </c>
      <c r="AG22" s="73"/>
      <c r="AH22" s="69"/>
      <c r="AI22" s="69"/>
      <c r="AJ22" s="78"/>
      <c r="AK22" s="78"/>
      <c r="AL22" s="78"/>
      <c r="AM22" s="77">
        <f t="shared" si="8"/>
        <v>13</v>
      </c>
      <c r="AN22" s="71">
        <f aca="true" t="shared" si="13" ref="AN22:AN27">SUM(AE22:AK22)</f>
        <v>71360</v>
      </c>
      <c r="AO22" s="71">
        <f t="shared" si="9"/>
        <v>658187</v>
      </c>
      <c r="AP22" s="71">
        <f t="shared" si="10"/>
        <v>99.99802491643878</v>
      </c>
      <c r="AQ22" s="128"/>
      <c r="AR22" s="129"/>
      <c r="AS22" s="129"/>
      <c r="AT22" s="130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s="79" customFormat="1" ht="28.5" customHeight="1">
      <c r="A23" s="99" t="s">
        <v>60</v>
      </c>
      <c r="B23" s="93">
        <v>341</v>
      </c>
      <c r="C23" s="68">
        <f>6000-6000</f>
        <v>0</v>
      </c>
      <c r="D23" s="73"/>
      <c r="E23" s="69"/>
      <c r="F23" s="69"/>
      <c r="G23" s="69"/>
      <c r="H23" s="69"/>
      <c r="I23" s="69"/>
      <c r="J23" s="70">
        <f t="shared" si="0"/>
        <v>0</v>
      </c>
      <c r="K23" s="71">
        <f t="shared" si="12"/>
        <v>0</v>
      </c>
      <c r="L23" s="72">
        <f t="shared" si="1"/>
        <v>0</v>
      </c>
      <c r="M23" s="69"/>
      <c r="N23" s="69"/>
      <c r="O23" s="69"/>
      <c r="P23" s="69"/>
      <c r="Q23" s="69"/>
      <c r="R23" s="69"/>
      <c r="S23" s="70">
        <f t="shared" si="2"/>
        <v>0</v>
      </c>
      <c r="T23" s="71">
        <f t="shared" si="3"/>
        <v>0</v>
      </c>
      <c r="U23" s="153">
        <f t="shared" si="4"/>
        <v>0</v>
      </c>
      <c r="V23" s="69"/>
      <c r="W23" s="69"/>
      <c r="X23" s="69"/>
      <c r="Y23" s="69"/>
      <c r="Z23" s="69"/>
      <c r="AA23" s="69"/>
      <c r="AB23" s="70">
        <f t="shared" si="5"/>
        <v>0</v>
      </c>
      <c r="AC23" s="71">
        <f t="shared" si="6"/>
        <v>0</v>
      </c>
      <c r="AD23" s="72">
        <f t="shared" si="7"/>
        <v>0</v>
      </c>
      <c r="AE23" s="69"/>
      <c r="AF23" s="69"/>
      <c r="AG23" s="69"/>
      <c r="AH23" s="69"/>
      <c r="AI23" s="69"/>
      <c r="AJ23" s="74"/>
      <c r="AK23" s="74"/>
      <c r="AL23" s="74"/>
      <c r="AM23" s="70">
        <f t="shared" si="8"/>
        <v>0</v>
      </c>
      <c r="AN23" s="71">
        <f t="shared" si="13"/>
        <v>0</v>
      </c>
      <c r="AO23" s="71">
        <f t="shared" si="9"/>
        <v>0</v>
      </c>
      <c r="AP23" s="71" t="e">
        <f t="shared" si="10"/>
        <v>#DIV/0!</v>
      </c>
      <c r="AQ23" s="128"/>
      <c r="AR23" s="129"/>
      <c r="AS23" s="129"/>
      <c r="AT23" s="130"/>
      <c r="AU23" s="112"/>
      <c r="AV23" s="128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spans="1:256" s="79" customFormat="1" ht="19.5" customHeight="1">
      <c r="A24" s="92" t="s">
        <v>61</v>
      </c>
      <c r="B24" s="310">
        <v>342</v>
      </c>
      <c r="C24" s="68">
        <f>13007900+1382700</f>
        <v>14390600</v>
      </c>
      <c r="D24" s="73"/>
      <c r="E24" s="69"/>
      <c r="F24" s="69"/>
      <c r="G24" s="69"/>
      <c r="H24" s="69"/>
      <c r="I24" s="69"/>
      <c r="J24" s="70">
        <f t="shared" si="0"/>
        <v>14390600</v>
      </c>
      <c r="K24" s="71">
        <f t="shared" si="12"/>
        <v>0</v>
      </c>
      <c r="L24" s="72">
        <f t="shared" si="1"/>
        <v>14390600</v>
      </c>
      <c r="M24" s="69">
        <f>400000+400000+400000+400000+400000+400000+400000+400000</f>
        <v>3200000</v>
      </c>
      <c r="N24" s="69"/>
      <c r="O24" s="69"/>
      <c r="P24" s="69"/>
      <c r="Q24" s="69"/>
      <c r="R24" s="73"/>
      <c r="S24" s="70">
        <f t="shared" si="2"/>
        <v>11190600</v>
      </c>
      <c r="T24" s="71">
        <f t="shared" si="3"/>
        <v>3200000</v>
      </c>
      <c r="U24" s="153">
        <f t="shared" si="4"/>
        <v>11190600</v>
      </c>
      <c r="V24" s="69">
        <f>400000+400000+400000</f>
        <v>1200000</v>
      </c>
      <c r="W24" s="69"/>
      <c r="X24" s="69"/>
      <c r="Y24" s="69">
        <v>267200</v>
      </c>
      <c r="Z24" s="73">
        <f>200000+600000+600000+600000+600000+600000+600000+600000+600000</f>
        <v>5000000</v>
      </c>
      <c r="AA24" s="73"/>
      <c r="AB24" s="70">
        <f t="shared" si="5"/>
        <v>4723400</v>
      </c>
      <c r="AC24" s="71">
        <f t="shared" si="6"/>
        <v>6467200</v>
      </c>
      <c r="AD24" s="72">
        <f t="shared" si="7"/>
        <v>4723400</v>
      </c>
      <c r="AE24" s="73"/>
      <c r="AF24" s="73"/>
      <c r="AG24" s="69">
        <v>3340700</v>
      </c>
      <c r="AH24" s="69">
        <f>182700+600000+600000</f>
        <v>1382700</v>
      </c>
      <c r="AI24" s="69"/>
      <c r="AJ24" s="74"/>
      <c r="AK24" s="74"/>
      <c r="AL24" s="74"/>
      <c r="AM24" s="70">
        <f t="shared" si="8"/>
        <v>0</v>
      </c>
      <c r="AN24" s="71">
        <f t="shared" si="13"/>
        <v>4723400</v>
      </c>
      <c r="AO24" s="71">
        <f t="shared" si="9"/>
        <v>14390600</v>
      </c>
      <c r="AP24" s="71">
        <f t="shared" si="10"/>
        <v>100</v>
      </c>
      <c r="AQ24" s="128"/>
      <c r="AR24" s="129"/>
      <c r="AS24" s="129"/>
      <c r="AT24" s="130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spans="1:256" s="79" customFormat="1" ht="24">
      <c r="A25" s="92" t="s">
        <v>66</v>
      </c>
      <c r="B25" s="311"/>
      <c r="C25" s="68"/>
      <c r="D25" s="73"/>
      <c r="E25" s="69"/>
      <c r="F25" s="69"/>
      <c r="G25" s="69"/>
      <c r="H25" s="69"/>
      <c r="I25" s="69"/>
      <c r="J25" s="70">
        <f t="shared" si="0"/>
        <v>0</v>
      </c>
      <c r="K25" s="71">
        <f t="shared" si="12"/>
        <v>0</v>
      </c>
      <c r="L25" s="72">
        <f t="shared" si="1"/>
        <v>0</v>
      </c>
      <c r="M25" s="69"/>
      <c r="N25" s="69"/>
      <c r="O25" s="69"/>
      <c r="P25" s="69"/>
      <c r="Q25" s="69"/>
      <c r="R25" s="69"/>
      <c r="S25" s="70">
        <f t="shared" si="2"/>
        <v>0</v>
      </c>
      <c r="T25" s="71">
        <f t="shared" si="3"/>
        <v>0</v>
      </c>
      <c r="U25" s="153">
        <f t="shared" si="4"/>
        <v>0</v>
      </c>
      <c r="V25" s="69"/>
      <c r="W25" s="69"/>
      <c r="X25" s="69"/>
      <c r="Y25" s="69"/>
      <c r="Z25" s="69"/>
      <c r="AA25" s="69"/>
      <c r="AB25" s="70">
        <f t="shared" si="5"/>
        <v>0</v>
      </c>
      <c r="AC25" s="71">
        <f t="shared" si="6"/>
        <v>0</v>
      </c>
      <c r="AD25" s="72">
        <f t="shared" si="7"/>
        <v>0</v>
      </c>
      <c r="AE25" s="69"/>
      <c r="AF25" s="69"/>
      <c r="AG25" s="69"/>
      <c r="AH25" s="69"/>
      <c r="AI25" s="69"/>
      <c r="AJ25" s="74"/>
      <c r="AK25" s="74"/>
      <c r="AL25" s="74"/>
      <c r="AM25" s="70">
        <f t="shared" si="8"/>
        <v>0</v>
      </c>
      <c r="AN25" s="71">
        <f t="shared" si="13"/>
        <v>0</v>
      </c>
      <c r="AO25" s="71">
        <f t="shared" si="9"/>
        <v>0</v>
      </c>
      <c r="AP25" s="71" t="e">
        <f t="shared" si="10"/>
        <v>#DIV/0!</v>
      </c>
      <c r="AQ25" s="128"/>
      <c r="AR25" s="129"/>
      <c r="AS25" s="129"/>
      <c r="AT25" s="130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</row>
    <row r="26" spans="1:256" s="75" customFormat="1" ht="15" collapsed="1">
      <c r="A26" s="100" t="s">
        <v>69</v>
      </c>
      <c r="B26" s="98">
        <v>343</v>
      </c>
      <c r="C26" s="68"/>
      <c r="D26" s="73"/>
      <c r="E26" s="145"/>
      <c r="F26" s="145"/>
      <c r="G26" s="73"/>
      <c r="H26" s="73"/>
      <c r="I26" s="145"/>
      <c r="J26" s="70">
        <f>C26-SUM(D26:I26)</f>
        <v>0</v>
      </c>
      <c r="K26" s="71">
        <f>SUM(D26:I26)</f>
        <v>0</v>
      </c>
      <c r="L26" s="72">
        <f>C26-K26</f>
        <v>0</v>
      </c>
      <c r="M26" s="73"/>
      <c r="N26" s="73"/>
      <c r="O26" s="73"/>
      <c r="P26" s="73"/>
      <c r="Q26" s="73"/>
      <c r="R26" s="73"/>
      <c r="S26" s="77">
        <f>L26-SUM(M26:R26)</f>
        <v>0</v>
      </c>
      <c r="T26" s="71">
        <f>SUM(M26:R26)</f>
        <v>0</v>
      </c>
      <c r="U26" s="153">
        <f>L26-T26</f>
        <v>0</v>
      </c>
      <c r="V26" s="73"/>
      <c r="W26" s="73"/>
      <c r="X26" s="73"/>
      <c r="Y26" s="73"/>
      <c r="Z26" s="73"/>
      <c r="AA26" s="73"/>
      <c r="AB26" s="77">
        <f>U26-SUM(V26:AA26)</f>
        <v>0</v>
      </c>
      <c r="AC26" s="71">
        <f>SUM(V26:AA26)</f>
        <v>0</v>
      </c>
      <c r="AD26" s="72">
        <f>U26-AC26</f>
        <v>0</v>
      </c>
      <c r="AE26" s="73"/>
      <c r="AF26" s="73"/>
      <c r="AG26" s="73"/>
      <c r="AH26" s="73"/>
      <c r="AI26" s="73"/>
      <c r="AJ26" s="78"/>
      <c r="AK26" s="78"/>
      <c r="AL26" s="78"/>
      <c r="AM26" s="77">
        <f>AD26-SUM(AE26:AL26)</f>
        <v>0</v>
      </c>
      <c r="AN26" s="71">
        <f t="shared" si="13"/>
        <v>0</v>
      </c>
      <c r="AO26" s="71">
        <f>K26+T26+AC26+AN26</f>
        <v>0</v>
      </c>
      <c r="AP26" s="71" t="e">
        <f>(K26+T26+AC26+AN26)/C26*100</f>
        <v>#DIV/0!</v>
      </c>
      <c r="AQ26" s="128"/>
      <c r="AR26" s="129"/>
      <c r="AS26" s="129"/>
      <c r="AT26" s="130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</row>
    <row r="27" spans="1:256" s="75" customFormat="1" ht="15" collapsed="1">
      <c r="A27" s="100" t="s">
        <v>70</v>
      </c>
      <c r="B27" s="98">
        <v>345</v>
      </c>
      <c r="C27" s="68">
        <f>497500-65800-205000-20500-88020</f>
        <v>118180</v>
      </c>
      <c r="D27" s="73"/>
      <c r="E27" s="145"/>
      <c r="F27" s="145"/>
      <c r="G27" s="73"/>
      <c r="H27" s="73"/>
      <c r="I27" s="145"/>
      <c r="J27" s="70">
        <f t="shared" si="0"/>
        <v>118180</v>
      </c>
      <c r="K27" s="71">
        <f t="shared" si="12"/>
        <v>0</v>
      </c>
      <c r="L27" s="72">
        <f t="shared" si="1"/>
        <v>118180</v>
      </c>
      <c r="M27" s="73"/>
      <c r="N27" s="73">
        <v>93940</v>
      </c>
      <c r="O27" s="73"/>
      <c r="P27" s="73"/>
      <c r="Q27" s="73">
        <v>9400</v>
      </c>
      <c r="R27" s="73"/>
      <c r="S27" s="77">
        <f t="shared" si="2"/>
        <v>14840</v>
      </c>
      <c r="T27" s="71">
        <f t="shared" si="3"/>
        <v>103340</v>
      </c>
      <c r="U27" s="153">
        <f t="shared" si="4"/>
        <v>14840</v>
      </c>
      <c r="V27" s="73"/>
      <c r="W27" s="73"/>
      <c r="X27" s="73"/>
      <c r="Y27" s="73"/>
      <c r="Z27" s="73"/>
      <c r="AA27" s="73"/>
      <c r="AB27" s="77">
        <f>U27-SUM(V27:AA27)</f>
        <v>14840</v>
      </c>
      <c r="AC27" s="71">
        <f t="shared" si="6"/>
        <v>0</v>
      </c>
      <c r="AD27" s="72">
        <f t="shared" si="7"/>
        <v>14840</v>
      </c>
      <c r="AE27" s="73"/>
      <c r="AF27" s="73"/>
      <c r="AG27" s="73">
        <v>14762</v>
      </c>
      <c r="AH27" s="73"/>
      <c r="AI27" s="73"/>
      <c r="AJ27" s="78"/>
      <c r="AK27" s="78"/>
      <c r="AL27" s="78"/>
      <c r="AM27" s="77">
        <f t="shared" si="8"/>
        <v>78</v>
      </c>
      <c r="AN27" s="71">
        <f t="shared" si="13"/>
        <v>14762</v>
      </c>
      <c r="AO27" s="71">
        <f t="shared" si="9"/>
        <v>118102</v>
      </c>
      <c r="AP27" s="71">
        <f t="shared" si="10"/>
        <v>99.93399898459975</v>
      </c>
      <c r="AQ27" s="128"/>
      <c r="AR27" s="129"/>
      <c r="AS27" s="129"/>
      <c r="AT27" s="130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spans="1:256" s="79" customFormat="1" ht="25.5">
      <c r="A28" s="109" t="s">
        <v>71</v>
      </c>
      <c r="B28" s="105">
        <v>346</v>
      </c>
      <c r="C28" s="68">
        <f>473100+52600+8700+65800+20500+88700+88020</f>
        <v>797420</v>
      </c>
      <c r="D28" s="73"/>
      <c r="E28" s="69"/>
      <c r="F28" s="69"/>
      <c r="G28" s="69"/>
      <c r="H28" s="69"/>
      <c r="I28" s="69">
        <v>30000</v>
      </c>
      <c r="J28" s="70">
        <f t="shared" si="0"/>
        <v>767420</v>
      </c>
      <c r="K28" s="71">
        <f>SUM(D28:I28)</f>
        <v>30000</v>
      </c>
      <c r="L28" s="72">
        <f t="shared" si="1"/>
        <v>767420</v>
      </c>
      <c r="M28" s="69"/>
      <c r="N28" s="69">
        <f>40500+50350+65200.6+62170.05</f>
        <v>218220.65000000002</v>
      </c>
      <c r="O28" s="69"/>
      <c r="P28" s="69"/>
      <c r="Q28" s="69">
        <f>58670+157882</f>
        <v>216552</v>
      </c>
      <c r="R28" s="69">
        <f>17570</f>
        <v>17570</v>
      </c>
      <c r="S28" s="70">
        <f t="shared" si="2"/>
        <v>315077.35</v>
      </c>
      <c r="T28" s="71">
        <f t="shared" si="3"/>
        <v>452342.65</v>
      </c>
      <c r="U28" s="153">
        <f t="shared" si="4"/>
        <v>315077.35</v>
      </c>
      <c r="V28" s="69">
        <v>117857</v>
      </c>
      <c r="W28" s="73"/>
      <c r="X28" s="73"/>
      <c r="Y28" s="73"/>
      <c r="Z28" s="69">
        <f>56126+31900</f>
        <v>88026</v>
      </c>
      <c r="AA28" s="69">
        <v>102789</v>
      </c>
      <c r="AB28" s="70">
        <f>U28-SUM(V28:AA28)</f>
        <v>6405.349999999977</v>
      </c>
      <c r="AC28" s="71">
        <f t="shared" si="6"/>
        <v>308672</v>
      </c>
      <c r="AD28" s="72">
        <f t="shared" si="7"/>
        <v>6405.349999999977</v>
      </c>
      <c r="AE28" s="69"/>
      <c r="AF28" s="73">
        <v>6400</v>
      </c>
      <c r="AG28" s="69"/>
      <c r="AH28" s="69"/>
      <c r="AI28" s="69"/>
      <c r="AJ28" s="74"/>
      <c r="AK28" s="74"/>
      <c r="AL28" s="74"/>
      <c r="AM28" s="70">
        <f t="shared" si="8"/>
        <v>5.349999999976717</v>
      </c>
      <c r="AN28" s="71">
        <f>SUM(AE28:AK28)</f>
        <v>6400</v>
      </c>
      <c r="AO28" s="71">
        <f t="shared" si="9"/>
        <v>797414.65</v>
      </c>
      <c r="AP28" s="71">
        <f t="shared" si="10"/>
        <v>99.99932908630333</v>
      </c>
      <c r="AQ28" s="128"/>
      <c r="AR28" s="129"/>
      <c r="AS28" s="129"/>
      <c r="AT28" s="130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</row>
    <row r="29" spans="1:256" s="79" customFormat="1" ht="22.5">
      <c r="A29" s="109" t="s">
        <v>88</v>
      </c>
      <c r="B29" s="105">
        <v>349</v>
      </c>
      <c r="C29" s="68">
        <v>10200</v>
      </c>
      <c r="D29" s="73"/>
      <c r="E29" s="69"/>
      <c r="F29" s="69">
        <f>2274+7903.72</f>
        <v>10177.720000000001</v>
      </c>
      <c r="G29" s="69"/>
      <c r="H29" s="69"/>
      <c r="I29" s="69"/>
      <c r="J29" s="70">
        <f t="shared" si="0"/>
        <v>22.279999999998836</v>
      </c>
      <c r="K29" s="71">
        <f>SUM(D29:I29)</f>
        <v>10177.720000000001</v>
      </c>
      <c r="L29" s="72">
        <f>C29-K29</f>
        <v>22.279999999998836</v>
      </c>
      <c r="M29" s="69"/>
      <c r="N29" s="69"/>
      <c r="O29" s="69"/>
      <c r="P29" s="69"/>
      <c r="Q29" s="69"/>
      <c r="R29" s="69"/>
      <c r="S29" s="70">
        <f>L29-SUM(M29:R29)</f>
        <v>22.279999999998836</v>
      </c>
      <c r="T29" s="71">
        <f>SUM(M29:R29)</f>
        <v>0</v>
      </c>
      <c r="U29" s="153">
        <f>L29-T29</f>
        <v>22.279999999998836</v>
      </c>
      <c r="V29" s="69"/>
      <c r="W29" s="73"/>
      <c r="X29" s="73"/>
      <c r="Y29" s="73"/>
      <c r="Z29" s="69"/>
      <c r="AA29" s="69"/>
      <c r="AB29" s="70">
        <f>U29-SUM(V29:AA29)</f>
        <v>22.279999999998836</v>
      </c>
      <c r="AC29" s="71">
        <f>SUM(V29:AA29)</f>
        <v>0</v>
      </c>
      <c r="AD29" s="72">
        <f>U29-AC29</f>
        <v>22.279999999998836</v>
      </c>
      <c r="AE29" s="69"/>
      <c r="AF29" s="73"/>
      <c r="AG29" s="69"/>
      <c r="AH29" s="69"/>
      <c r="AI29" s="69"/>
      <c r="AJ29" s="74"/>
      <c r="AK29" s="74"/>
      <c r="AL29" s="74"/>
      <c r="AM29" s="70">
        <f>AD29-SUM(AE29:AL29)</f>
        <v>22.279999999998836</v>
      </c>
      <c r="AN29" s="71">
        <f>SUM(AE29:AK29)</f>
        <v>0</v>
      </c>
      <c r="AO29" s="71">
        <f>K29+T29+AC29+AN29</f>
        <v>10177.720000000001</v>
      </c>
      <c r="AP29" s="71">
        <f>(K29+T29+AC29+AN29)/C29*100</f>
        <v>99.781568627451</v>
      </c>
      <c r="AQ29" s="128"/>
      <c r="AR29" s="129"/>
      <c r="AS29" s="129"/>
      <c r="AT29" s="130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spans="1:256" s="79" customFormat="1" ht="15">
      <c r="A30" s="109" t="s">
        <v>89</v>
      </c>
      <c r="B30" s="105">
        <v>350</v>
      </c>
      <c r="C30" s="68"/>
      <c r="D30" s="73"/>
      <c r="E30" s="69"/>
      <c r="F30" s="69"/>
      <c r="G30" s="69"/>
      <c r="H30" s="69"/>
      <c r="I30" s="69"/>
      <c r="J30" s="70">
        <f>C30-SUM(D30:I30)</f>
        <v>0</v>
      </c>
      <c r="K30" s="71">
        <f>SUM(D30:I30)</f>
        <v>0</v>
      </c>
      <c r="L30" s="72">
        <f>C30-K30</f>
        <v>0</v>
      </c>
      <c r="M30" s="69"/>
      <c r="N30" s="69"/>
      <c r="O30" s="69"/>
      <c r="P30" s="69"/>
      <c r="Q30" s="69"/>
      <c r="R30" s="69"/>
      <c r="S30" s="70">
        <f>L30-SUM(M30:R30)</f>
        <v>0</v>
      </c>
      <c r="T30" s="71">
        <f>SUM(M30:R30)</f>
        <v>0</v>
      </c>
      <c r="U30" s="153">
        <f>L30-T30</f>
        <v>0</v>
      </c>
      <c r="V30" s="69"/>
      <c r="W30" s="73"/>
      <c r="X30" s="73"/>
      <c r="Y30" s="73"/>
      <c r="Z30" s="69"/>
      <c r="AA30" s="69"/>
      <c r="AB30" s="70">
        <f>U30-SUM(V30:AA30)</f>
        <v>0</v>
      </c>
      <c r="AC30" s="71">
        <f>SUM(V30:AA30)</f>
        <v>0</v>
      </c>
      <c r="AD30" s="72">
        <f>U30-AC30</f>
        <v>0</v>
      </c>
      <c r="AE30" s="69"/>
      <c r="AF30" s="73"/>
      <c r="AG30" s="69"/>
      <c r="AH30" s="69"/>
      <c r="AI30" s="69"/>
      <c r="AJ30" s="74"/>
      <c r="AK30" s="74"/>
      <c r="AL30" s="74"/>
      <c r="AM30" s="70">
        <f>AD30-SUM(AE30:AL30)</f>
        <v>0</v>
      </c>
      <c r="AN30" s="71">
        <f>SUM(AE30:AK30)</f>
        <v>0</v>
      </c>
      <c r="AO30" s="71">
        <f>K30+T30+AC30+AN30</f>
        <v>0</v>
      </c>
      <c r="AP30" s="71" t="e">
        <f>(K30+T30+AC30+AN30)/C30*100</f>
        <v>#DIV/0!</v>
      </c>
      <c r="AQ30" s="128"/>
      <c r="AR30" s="129"/>
      <c r="AS30" s="129"/>
      <c r="AT30" s="130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1" spans="1:256" s="86" customFormat="1" ht="19.5" customHeight="1">
      <c r="A31" s="80" t="s">
        <v>38</v>
      </c>
      <c r="B31" s="81"/>
      <c r="C31" s="82">
        <f>SUM(C32)</f>
        <v>0</v>
      </c>
      <c r="D31" s="184"/>
      <c r="E31" s="184"/>
      <c r="F31" s="184"/>
      <c r="G31" s="184"/>
      <c r="H31" s="184"/>
      <c r="I31" s="184"/>
      <c r="J31" s="184"/>
      <c r="K31" s="184"/>
      <c r="L31" s="82"/>
      <c r="M31" s="83"/>
      <c r="N31" s="83"/>
      <c r="O31" s="83"/>
      <c r="P31" s="83"/>
      <c r="Q31" s="83"/>
      <c r="R31" s="83"/>
      <c r="S31" s="84"/>
      <c r="T31" s="84"/>
      <c r="U31" s="82"/>
      <c r="V31" s="83"/>
      <c r="W31" s="83"/>
      <c r="X31" s="83"/>
      <c r="Y31" s="83"/>
      <c r="Z31" s="83"/>
      <c r="AA31" s="83"/>
      <c r="AB31" s="84"/>
      <c r="AC31" s="84"/>
      <c r="AD31" s="82"/>
      <c r="AE31" s="83"/>
      <c r="AF31" s="83"/>
      <c r="AG31" s="83"/>
      <c r="AH31" s="83"/>
      <c r="AI31" s="83"/>
      <c r="AJ31" s="85"/>
      <c r="AK31" s="85"/>
      <c r="AL31" s="85"/>
      <c r="AM31" s="103"/>
      <c r="AN31" s="84"/>
      <c r="AO31" s="84"/>
      <c r="AP31" s="84"/>
      <c r="AQ31" s="117"/>
      <c r="AR31" s="127"/>
      <c r="AS31" s="12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s="79" customFormat="1" ht="15">
      <c r="A32" s="95" t="s">
        <v>39</v>
      </c>
      <c r="B32" s="96">
        <v>292</v>
      </c>
      <c r="C32" s="68">
        <f>62800-10200-52600</f>
        <v>0</v>
      </c>
      <c r="D32" s="69"/>
      <c r="E32" s="69"/>
      <c r="F32" s="69"/>
      <c r="G32" s="69"/>
      <c r="H32" s="69"/>
      <c r="I32" s="69"/>
      <c r="J32" s="70">
        <f>C32-SUM(D32:I32)</f>
        <v>0</v>
      </c>
      <c r="K32" s="71">
        <f>SUM(D32:I32)</f>
        <v>0</v>
      </c>
      <c r="L32" s="72">
        <f>C32-K32</f>
        <v>0</v>
      </c>
      <c r="M32" s="69"/>
      <c r="N32" s="69"/>
      <c r="O32" s="69"/>
      <c r="P32" s="69"/>
      <c r="Q32" s="69"/>
      <c r="R32" s="69"/>
      <c r="S32" s="70">
        <f>L32-SUM(M32:R32)</f>
        <v>0</v>
      </c>
      <c r="T32" s="71">
        <f>SUM(M32:R32)</f>
        <v>0</v>
      </c>
      <c r="U32" s="153">
        <f>L32-T32</f>
        <v>0</v>
      </c>
      <c r="V32" s="69"/>
      <c r="W32" s="69"/>
      <c r="X32" s="69"/>
      <c r="Y32" s="69"/>
      <c r="Z32" s="69"/>
      <c r="AA32" s="69"/>
      <c r="AB32" s="70">
        <f>U32-SUM(V32:AA32)</f>
        <v>0</v>
      </c>
      <c r="AC32" s="71">
        <f>SUM(V32:AA32)</f>
        <v>0</v>
      </c>
      <c r="AD32" s="72">
        <f>U32-AC32</f>
        <v>0</v>
      </c>
      <c r="AE32" s="69"/>
      <c r="AF32" s="69"/>
      <c r="AG32" s="69"/>
      <c r="AH32" s="69"/>
      <c r="AI32" s="69"/>
      <c r="AJ32" s="74"/>
      <c r="AK32" s="74"/>
      <c r="AL32" s="74"/>
      <c r="AM32" s="70">
        <f>AD32-SUM(AE32:AL32)</f>
        <v>0</v>
      </c>
      <c r="AN32" s="71">
        <f>SUM(AE32:AK32)</f>
        <v>0</v>
      </c>
      <c r="AO32" s="71">
        <f>K32+T32+AC32+AN32</f>
        <v>0</v>
      </c>
      <c r="AP32" s="71" t="e">
        <f>(K32+T32+AC32+AN32)/C32*100</f>
        <v>#DIV/0!</v>
      </c>
      <c r="AQ32" s="128"/>
      <c r="AR32" s="134"/>
      <c r="AS32" s="134"/>
      <c r="AT32" s="130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</row>
    <row r="33" spans="1:256" s="107" customFormat="1" ht="17.25" customHeight="1">
      <c r="A33" s="144" t="s">
        <v>31</v>
      </c>
      <c r="B33" s="150"/>
      <c r="C33" s="148">
        <f>C4+C7+C9+C13+C31</f>
        <v>101405300</v>
      </c>
      <c r="D33" s="148">
        <f>SUM(D5:D28)</f>
        <v>0</v>
      </c>
      <c r="E33" s="148">
        <f aca="true" t="shared" si="14" ref="E33:AO33">SUM(E5:E32)</f>
        <v>152528.97</v>
      </c>
      <c r="F33" s="148">
        <f t="shared" si="14"/>
        <v>6899746.75</v>
      </c>
      <c r="G33" s="148">
        <f t="shared" si="14"/>
        <v>558495.81</v>
      </c>
      <c r="H33" s="148">
        <f t="shared" si="14"/>
        <v>6077476.859999999</v>
      </c>
      <c r="I33" s="148">
        <f t="shared" si="14"/>
        <v>656686.73</v>
      </c>
      <c r="J33" s="149">
        <f t="shared" si="14"/>
        <v>87060364.88000001</v>
      </c>
      <c r="K33" s="149">
        <f t="shared" si="14"/>
        <v>14344935.120000001</v>
      </c>
      <c r="L33" s="148">
        <f t="shared" si="14"/>
        <v>87060364.88000001</v>
      </c>
      <c r="M33" s="148">
        <f t="shared" si="14"/>
        <v>10520492.53</v>
      </c>
      <c r="N33" s="148">
        <f t="shared" si="14"/>
        <v>3253541.52</v>
      </c>
      <c r="O33" s="148">
        <f t="shared" si="14"/>
        <v>7877574.65</v>
      </c>
      <c r="P33" s="148">
        <f t="shared" si="14"/>
        <v>3552313.8800000004</v>
      </c>
      <c r="Q33" s="148">
        <f t="shared" si="14"/>
        <v>8863945.41</v>
      </c>
      <c r="R33" s="148">
        <f t="shared" si="14"/>
        <v>1874477.5199999998</v>
      </c>
      <c r="S33" s="149">
        <f t="shared" si="14"/>
        <v>51118019.37000001</v>
      </c>
      <c r="T33" s="149">
        <f t="shared" si="14"/>
        <v>35942345.51</v>
      </c>
      <c r="U33" s="148">
        <f t="shared" si="14"/>
        <v>51118019.37000001</v>
      </c>
      <c r="V33" s="148">
        <f t="shared" si="14"/>
        <v>6432999.11</v>
      </c>
      <c r="W33" s="148">
        <f t="shared" si="14"/>
        <v>675222.61</v>
      </c>
      <c r="X33" s="148">
        <f t="shared" si="14"/>
        <v>3752921.13</v>
      </c>
      <c r="Y33" s="148">
        <f t="shared" si="14"/>
        <v>310284.78</v>
      </c>
      <c r="Z33" s="148">
        <f t="shared" si="14"/>
        <v>8425149.6</v>
      </c>
      <c r="AA33" s="148">
        <f t="shared" si="14"/>
        <v>702556.9</v>
      </c>
      <c r="AB33" s="149">
        <f t="shared" si="14"/>
        <v>30818885.240000006</v>
      </c>
      <c r="AC33" s="149">
        <f t="shared" si="14"/>
        <v>20299134.130000003</v>
      </c>
      <c r="AD33" s="148">
        <f t="shared" si="14"/>
        <v>30818885.240000006</v>
      </c>
      <c r="AE33" s="148">
        <f t="shared" si="14"/>
        <v>4705507.9399999995</v>
      </c>
      <c r="AF33" s="148">
        <f t="shared" si="14"/>
        <v>279288</v>
      </c>
      <c r="AG33" s="148">
        <f t="shared" si="14"/>
        <v>8301978.01</v>
      </c>
      <c r="AH33" s="148">
        <f t="shared" si="14"/>
        <v>2049725.85</v>
      </c>
      <c r="AI33" s="148">
        <f t="shared" si="14"/>
        <v>6895391.449999999</v>
      </c>
      <c r="AJ33" s="148">
        <f t="shared" si="14"/>
        <v>13152</v>
      </c>
      <c r="AK33" s="148">
        <f t="shared" si="14"/>
        <v>8545147.870000001</v>
      </c>
      <c r="AL33" s="148">
        <f t="shared" si="14"/>
        <v>54500</v>
      </c>
      <c r="AM33" s="149">
        <f t="shared" si="14"/>
        <v>-25805.879999999866</v>
      </c>
      <c r="AN33" s="149">
        <f t="shared" si="14"/>
        <v>30790191.12</v>
      </c>
      <c r="AO33" s="149">
        <f t="shared" si="14"/>
        <v>101376605.88000001</v>
      </c>
      <c r="AP33" s="149">
        <f t="shared" si="10"/>
        <v>99.97170353028885</v>
      </c>
      <c r="AQ33" s="135"/>
      <c r="AR33" s="136"/>
      <c r="AS33" s="136"/>
      <c r="AT33" s="137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s="16" customFormat="1" ht="30.75" customHeight="1">
      <c r="A34" s="318" t="s">
        <v>32</v>
      </c>
      <c r="B34" s="319"/>
      <c r="C34" s="11"/>
      <c r="D34" s="12"/>
      <c r="E34" s="12"/>
      <c r="F34" s="12"/>
      <c r="G34" s="12"/>
      <c r="H34" s="12"/>
      <c r="I34" s="12"/>
      <c r="J34" s="13"/>
      <c r="K34" s="26"/>
      <c r="L34" s="12"/>
      <c r="M34" s="12"/>
      <c r="N34" s="12"/>
      <c r="O34" s="12"/>
      <c r="P34" s="12"/>
      <c r="Q34" s="12"/>
      <c r="R34" s="12"/>
      <c r="S34" s="13"/>
      <c r="T34" s="13"/>
      <c r="U34" s="152"/>
      <c r="V34" s="27"/>
      <c r="W34" s="12"/>
      <c r="X34" s="12"/>
      <c r="Y34" s="12"/>
      <c r="Z34" s="12"/>
      <c r="AA34" s="12"/>
      <c r="AB34" s="13"/>
      <c r="AC34" s="13"/>
      <c r="AD34" s="12"/>
      <c r="AE34" s="12"/>
      <c r="AF34" s="12"/>
      <c r="AG34" s="12"/>
      <c r="AH34" s="12"/>
      <c r="AI34" s="12"/>
      <c r="AJ34" s="15"/>
      <c r="AK34" s="15"/>
      <c r="AL34" s="15"/>
      <c r="AM34" s="13"/>
      <c r="AN34" s="13"/>
      <c r="AO34" s="13"/>
      <c r="AP34" s="13"/>
      <c r="AQ34" s="282"/>
      <c r="AR34" s="126"/>
      <c r="AS34" s="126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256" s="86" customFormat="1" ht="19.5" customHeight="1">
      <c r="A35" s="80" t="s">
        <v>24</v>
      </c>
      <c r="B35" s="81"/>
      <c r="C35" s="82">
        <f>SUM(C36:C44)</f>
        <v>23197200</v>
      </c>
      <c r="D35" s="184"/>
      <c r="E35" s="184"/>
      <c r="F35" s="184"/>
      <c r="G35" s="184"/>
      <c r="H35" s="184"/>
      <c r="I35" s="184"/>
      <c r="J35" s="184"/>
      <c r="K35" s="184"/>
      <c r="L35" s="82"/>
      <c r="M35" s="83"/>
      <c r="N35" s="83"/>
      <c r="O35" s="83"/>
      <c r="P35" s="83"/>
      <c r="Q35" s="83"/>
      <c r="R35" s="83"/>
      <c r="S35" s="84"/>
      <c r="T35" s="84"/>
      <c r="U35" s="82"/>
      <c r="V35" s="83"/>
      <c r="W35" s="83"/>
      <c r="X35" s="83"/>
      <c r="Y35" s="83"/>
      <c r="Z35" s="83"/>
      <c r="AA35" s="83"/>
      <c r="AB35" s="84"/>
      <c r="AC35" s="84"/>
      <c r="AD35" s="82"/>
      <c r="AE35" s="83"/>
      <c r="AF35" s="83"/>
      <c r="AG35" s="83"/>
      <c r="AH35" s="83"/>
      <c r="AI35" s="83"/>
      <c r="AJ35" s="85"/>
      <c r="AK35" s="85"/>
      <c r="AL35" s="85"/>
      <c r="AM35" s="84"/>
      <c r="AN35" s="84"/>
      <c r="AO35" s="84"/>
      <c r="AP35" s="84"/>
      <c r="AQ35" s="117"/>
      <c r="AR35" s="127"/>
      <c r="AS35" s="12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spans="1:256" s="75" customFormat="1" ht="19.5" customHeight="1">
      <c r="A36" s="89" t="s">
        <v>18</v>
      </c>
      <c r="B36" s="90">
        <v>221</v>
      </c>
      <c r="C36" s="68"/>
      <c r="D36" s="73"/>
      <c r="E36" s="73"/>
      <c r="F36" s="73"/>
      <c r="G36" s="73"/>
      <c r="H36" s="73"/>
      <c r="I36" s="73"/>
      <c r="J36" s="77">
        <f>C36-SUM(D36:I36)</f>
        <v>0</v>
      </c>
      <c r="K36" s="71">
        <f>SUM(D36:I36)</f>
        <v>0</v>
      </c>
      <c r="L36" s="72">
        <f>C36-K36</f>
        <v>0</v>
      </c>
      <c r="M36" s="73"/>
      <c r="N36" s="73"/>
      <c r="O36" s="73"/>
      <c r="P36" s="73"/>
      <c r="Q36" s="73"/>
      <c r="R36" s="73"/>
      <c r="S36" s="77">
        <f>L36-SUM(M36:R36)</f>
        <v>0</v>
      </c>
      <c r="T36" s="71">
        <f>SUM(M36:R36)</f>
        <v>0</v>
      </c>
      <c r="U36" s="153">
        <f>L36-T36</f>
        <v>0</v>
      </c>
      <c r="V36" s="73"/>
      <c r="W36" s="73"/>
      <c r="X36" s="73"/>
      <c r="Y36" s="73"/>
      <c r="Z36" s="73"/>
      <c r="AA36" s="73"/>
      <c r="AB36" s="77">
        <f>U36-SUM(V36:AA36)</f>
        <v>0</v>
      </c>
      <c r="AC36" s="71">
        <f>SUM(V36:AA36)</f>
        <v>0</v>
      </c>
      <c r="AD36" s="72">
        <f>U36-AC36</f>
        <v>0</v>
      </c>
      <c r="AE36" s="73"/>
      <c r="AF36" s="73"/>
      <c r="AG36" s="73"/>
      <c r="AH36" s="73"/>
      <c r="AI36" s="73"/>
      <c r="AJ36" s="78"/>
      <c r="AK36" s="78"/>
      <c r="AL36" s="78"/>
      <c r="AM36" s="77">
        <f>AD36-SUM(AE36:AL36)</f>
        <v>0</v>
      </c>
      <c r="AN36" s="71">
        <f aca="true" t="shared" si="15" ref="AN36:AN44">SUM(AE36:AK36)</f>
        <v>0</v>
      </c>
      <c r="AO36" s="71">
        <f>K36+T36+AC36+AN36</f>
        <v>0</v>
      </c>
      <c r="AP36" s="71" t="e">
        <f>(K36+T36+AC36+AN36)/C36*100</f>
        <v>#DIV/0!</v>
      </c>
      <c r="AQ36" s="128"/>
      <c r="AR36" s="129"/>
      <c r="AS36" s="129"/>
      <c r="AT36" s="130"/>
      <c r="AU36" s="112"/>
      <c r="AV36" s="128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  <c r="IV36" s="112"/>
    </row>
    <row r="37" spans="1:256" s="79" customFormat="1" ht="19.5" customHeight="1">
      <c r="A37" s="92" t="s">
        <v>62</v>
      </c>
      <c r="B37" s="310">
        <v>223</v>
      </c>
      <c r="C37" s="68">
        <f>21725300-400000-400000-2119200+945900+275900-126880.45-14130.8</f>
        <v>19886888.75</v>
      </c>
      <c r="D37" s="69"/>
      <c r="E37" s="69">
        <f>2103978.88-739524.31</f>
        <v>1364454.5699999998</v>
      </c>
      <c r="F37" s="69"/>
      <c r="G37" s="69"/>
      <c r="H37" s="69">
        <v>2938237.15</v>
      </c>
      <c r="I37" s="69"/>
      <c r="J37" s="70">
        <f aca="true" t="shared" si="16" ref="J37:J44">C37-SUM(D37:I37)</f>
        <v>15584197.030000001</v>
      </c>
      <c r="K37" s="71">
        <f aca="true" t="shared" si="17" ref="K37:K44">SUM(D37:I37)</f>
        <v>4302691.72</v>
      </c>
      <c r="L37" s="72">
        <f aca="true" t="shared" si="18" ref="L37:L44">C37-K37</f>
        <v>15584197.030000001</v>
      </c>
      <c r="M37" s="69">
        <v>1925763.86</v>
      </c>
      <c r="N37" s="69">
        <v>1951310.03</v>
      </c>
      <c r="O37" s="69"/>
      <c r="P37" s="73">
        <v>1844607.66</v>
      </c>
      <c r="Q37" s="73"/>
      <c r="R37" s="73">
        <v>1423934.54</v>
      </c>
      <c r="S37" s="70">
        <f aca="true" t="shared" si="19" ref="S37:S44">L37-SUM(M37:R37)</f>
        <v>8438580.940000001</v>
      </c>
      <c r="T37" s="71">
        <f aca="true" t="shared" si="20" ref="T37:T44">SUM(M37:R37)</f>
        <v>7145616.09</v>
      </c>
      <c r="U37" s="153">
        <f aca="true" t="shared" si="21" ref="U37:U44">L37-T37</f>
        <v>8438580.940000001</v>
      </c>
      <c r="V37" s="69"/>
      <c r="W37" s="73">
        <v>991577.23</v>
      </c>
      <c r="X37" s="73"/>
      <c r="Y37" s="73">
        <v>592054.24</v>
      </c>
      <c r="Z37" s="73"/>
      <c r="AA37" s="69">
        <v>664047.09</v>
      </c>
      <c r="AB37" s="70">
        <f aca="true" t="shared" si="22" ref="AB37:AB44">U37-SUM(V37:AA37)</f>
        <v>6190902.380000001</v>
      </c>
      <c r="AC37" s="71">
        <f aca="true" t="shared" si="23" ref="AC37:AC44">SUM(V37:AA37)</f>
        <v>2247678.56</v>
      </c>
      <c r="AD37" s="72">
        <f aca="true" t="shared" si="24" ref="AD37:AD44">U37-AC37</f>
        <v>6190902.380000001</v>
      </c>
      <c r="AE37" s="73"/>
      <c r="AF37" s="73">
        <v>712334.05</v>
      </c>
      <c r="AG37" s="73"/>
      <c r="AH37" s="73">
        <v>1176091.88</v>
      </c>
      <c r="AI37" s="73"/>
      <c r="AJ37" s="74">
        <v>1494316.95</v>
      </c>
      <c r="AK37" s="74">
        <v>2808159.5</v>
      </c>
      <c r="AL37" s="74"/>
      <c r="AM37" s="70">
        <f>AD37-SUM(AE37:AL37)</f>
        <v>0</v>
      </c>
      <c r="AN37" s="71">
        <f t="shared" si="15"/>
        <v>6190902.38</v>
      </c>
      <c r="AO37" s="71">
        <f t="shared" si="9"/>
        <v>19886888.75</v>
      </c>
      <c r="AP37" s="71">
        <f t="shared" si="10"/>
        <v>100</v>
      </c>
      <c r="AQ37" s="128"/>
      <c r="AR37" s="129"/>
      <c r="AS37" s="129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</row>
    <row r="38" spans="1:256" s="79" customFormat="1" ht="16.5" customHeight="1" collapsed="1">
      <c r="A38" s="92" t="s">
        <v>63</v>
      </c>
      <c r="B38" s="312"/>
      <c r="C38" s="68">
        <f>320200+400000+126880.45</f>
        <v>847080.45</v>
      </c>
      <c r="D38" s="69"/>
      <c r="E38" s="69"/>
      <c r="F38" s="69"/>
      <c r="G38" s="69"/>
      <c r="H38" s="69">
        <v>118325.58</v>
      </c>
      <c r="I38" s="69"/>
      <c r="J38" s="70">
        <f t="shared" si="16"/>
        <v>728754.87</v>
      </c>
      <c r="K38" s="71">
        <f t="shared" si="17"/>
        <v>118325.58</v>
      </c>
      <c r="L38" s="72">
        <f t="shared" si="18"/>
        <v>728754.87</v>
      </c>
      <c r="M38" s="69">
        <v>106020.3</v>
      </c>
      <c r="N38" s="69">
        <v>88347.46</v>
      </c>
      <c r="O38" s="69"/>
      <c r="P38" s="69">
        <v>85067.91</v>
      </c>
      <c r="Q38" s="73"/>
      <c r="R38" s="73">
        <v>71832.76</v>
      </c>
      <c r="S38" s="70">
        <f t="shared" si="19"/>
        <v>377486.43999999994</v>
      </c>
      <c r="T38" s="71">
        <f t="shared" si="20"/>
        <v>351268.43000000005</v>
      </c>
      <c r="U38" s="153">
        <f t="shared" si="21"/>
        <v>377486.43999999994</v>
      </c>
      <c r="V38" s="69"/>
      <c r="W38" s="73">
        <v>52489.54</v>
      </c>
      <c r="X38" s="73"/>
      <c r="Y38" s="73">
        <v>40527</v>
      </c>
      <c r="Z38" s="73"/>
      <c r="AA38" s="69">
        <v>48404.4</v>
      </c>
      <c r="AB38" s="70">
        <f t="shared" si="22"/>
        <v>236065.49999999994</v>
      </c>
      <c r="AC38" s="71">
        <f t="shared" si="23"/>
        <v>141420.94</v>
      </c>
      <c r="AD38" s="72">
        <f t="shared" si="24"/>
        <v>236065.49999999994</v>
      </c>
      <c r="AE38" s="73"/>
      <c r="AF38" s="73">
        <v>38953.8</v>
      </c>
      <c r="AG38" s="73"/>
      <c r="AH38" s="73">
        <v>112215.9</v>
      </c>
      <c r="AI38" s="73"/>
      <c r="AJ38" s="74">
        <v>84895.8</v>
      </c>
      <c r="AK38" s="74"/>
      <c r="AL38" s="74"/>
      <c r="AM38" s="70">
        <f t="shared" si="8"/>
        <v>0</v>
      </c>
      <c r="AN38" s="71">
        <f t="shared" si="15"/>
        <v>236065.5</v>
      </c>
      <c r="AO38" s="71">
        <f t="shared" si="9"/>
        <v>847080.4500000001</v>
      </c>
      <c r="AP38" s="71">
        <f t="shared" si="10"/>
        <v>100.00000000000003</v>
      </c>
      <c r="AQ38" s="128"/>
      <c r="AR38" s="129"/>
      <c r="AS38" s="129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</row>
    <row r="39" spans="1:256" s="79" customFormat="1" ht="18.75" customHeight="1">
      <c r="A39" s="92" t="s">
        <v>64</v>
      </c>
      <c r="B39" s="312"/>
      <c r="C39" s="68">
        <f>7674300-3000000-1870600-600-1306300+60718.65+11500+14130.8+210123.57</f>
        <v>1793273.02</v>
      </c>
      <c r="D39" s="69"/>
      <c r="E39" s="69"/>
      <c r="F39" s="69"/>
      <c r="G39" s="69"/>
      <c r="H39" s="69">
        <f>18226.08+94938.81</f>
        <v>113164.89</v>
      </c>
      <c r="I39" s="69"/>
      <c r="J39" s="70">
        <f t="shared" si="16"/>
        <v>1680108.1300000001</v>
      </c>
      <c r="K39" s="71">
        <f t="shared" si="17"/>
        <v>113164.89</v>
      </c>
      <c r="L39" s="72">
        <f t="shared" si="18"/>
        <v>1680108.1300000001</v>
      </c>
      <c r="M39" s="69">
        <f>100796.87+14175.84</f>
        <v>114972.70999999999</v>
      </c>
      <c r="N39" s="69">
        <f>111996.54+14175.84</f>
        <v>126172.37999999999</v>
      </c>
      <c r="O39" s="69"/>
      <c r="P39" s="69">
        <v>149360.41</v>
      </c>
      <c r="Q39" s="73"/>
      <c r="R39" s="73">
        <v>144265.65</v>
      </c>
      <c r="S39" s="70">
        <f t="shared" si="19"/>
        <v>1145336.98</v>
      </c>
      <c r="T39" s="71">
        <f t="shared" si="20"/>
        <v>534771.15</v>
      </c>
      <c r="U39" s="153">
        <f t="shared" si="21"/>
        <v>1145336.98</v>
      </c>
      <c r="V39" s="69"/>
      <c r="W39" s="73">
        <v>75599.75</v>
      </c>
      <c r="X39" s="73"/>
      <c r="Y39" s="73">
        <v>108083.21</v>
      </c>
      <c r="Z39" s="73"/>
      <c r="AA39" s="69">
        <v>94165.82</v>
      </c>
      <c r="AB39" s="70">
        <f t="shared" si="22"/>
        <v>867488.2</v>
      </c>
      <c r="AC39" s="71">
        <f t="shared" si="23"/>
        <v>277848.78</v>
      </c>
      <c r="AD39" s="72">
        <f t="shared" si="24"/>
        <v>867488.2</v>
      </c>
      <c r="AE39" s="73"/>
      <c r="AF39" s="73">
        <v>118727.24</v>
      </c>
      <c r="AG39" s="73"/>
      <c r="AH39" s="73">
        <v>220433.43</v>
      </c>
      <c r="AI39" s="73"/>
      <c r="AJ39" s="74">
        <v>154495.24</v>
      </c>
      <c r="AK39" s="74">
        <v>138077.92</v>
      </c>
      <c r="AL39" s="74">
        <v>235754.37</v>
      </c>
      <c r="AM39" s="70">
        <f t="shared" si="8"/>
        <v>0</v>
      </c>
      <c r="AN39" s="71">
        <f>SUM(AE39:AL39)</f>
        <v>867488.2</v>
      </c>
      <c r="AO39" s="71">
        <f t="shared" si="9"/>
        <v>1793273.02</v>
      </c>
      <c r="AP39" s="71">
        <f t="shared" si="10"/>
        <v>100</v>
      </c>
      <c r="AQ39" s="128"/>
      <c r="AR39" s="129"/>
      <c r="AS39" s="129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</row>
    <row r="40" spans="1:256" s="79" customFormat="1" ht="16.5" customHeight="1">
      <c r="A40" s="92" t="s">
        <v>90</v>
      </c>
      <c r="B40" s="311"/>
      <c r="C40" s="68">
        <f>451400-60718.65-6700-210123.57</f>
        <v>173857.77999999997</v>
      </c>
      <c r="D40" s="69"/>
      <c r="E40" s="69"/>
      <c r="F40" s="69"/>
      <c r="G40" s="69"/>
      <c r="H40" s="69">
        <v>12182.83</v>
      </c>
      <c r="I40" s="69"/>
      <c r="J40" s="70">
        <f t="shared" si="16"/>
        <v>161674.94999999998</v>
      </c>
      <c r="K40" s="71">
        <f t="shared" si="17"/>
        <v>12182.83</v>
      </c>
      <c r="L40" s="72">
        <f t="shared" si="18"/>
        <v>161674.94999999998</v>
      </c>
      <c r="M40" s="69">
        <v>16304.58</v>
      </c>
      <c r="N40" s="69">
        <v>16377.52</v>
      </c>
      <c r="O40" s="69"/>
      <c r="P40" s="69">
        <v>16195.15</v>
      </c>
      <c r="Q40" s="73"/>
      <c r="R40" s="73">
        <v>14699.65</v>
      </c>
      <c r="S40" s="70">
        <f t="shared" si="19"/>
        <v>98098.04999999999</v>
      </c>
      <c r="T40" s="71">
        <f t="shared" si="20"/>
        <v>63576.9</v>
      </c>
      <c r="U40" s="153">
        <f t="shared" si="21"/>
        <v>98098.04999999999</v>
      </c>
      <c r="V40" s="69"/>
      <c r="W40" s="73">
        <v>15684.49</v>
      </c>
      <c r="X40" s="73"/>
      <c r="Y40" s="73">
        <v>16954.98</v>
      </c>
      <c r="Z40" s="73"/>
      <c r="AA40" s="69">
        <v>16954.98</v>
      </c>
      <c r="AB40" s="70">
        <f t="shared" si="22"/>
        <v>48503.59999999999</v>
      </c>
      <c r="AC40" s="71">
        <f t="shared" si="23"/>
        <v>49594.45</v>
      </c>
      <c r="AD40" s="72">
        <f t="shared" si="24"/>
        <v>48503.59999999999</v>
      </c>
      <c r="AE40" s="73"/>
      <c r="AF40" s="73">
        <v>14285.36</v>
      </c>
      <c r="AG40" s="73"/>
      <c r="AH40" s="73">
        <v>16877.91</v>
      </c>
      <c r="AI40" s="73"/>
      <c r="AJ40" s="74">
        <v>17340.33</v>
      </c>
      <c r="AK40" s="74"/>
      <c r="AL40" s="74"/>
      <c r="AM40" s="70">
        <f t="shared" si="8"/>
        <v>0</v>
      </c>
      <c r="AN40" s="71">
        <f t="shared" si="15"/>
        <v>48503.600000000006</v>
      </c>
      <c r="AO40" s="71">
        <f t="shared" si="9"/>
        <v>173857.78</v>
      </c>
      <c r="AP40" s="71">
        <f t="shared" si="10"/>
        <v>100.00000000000003</v>
      </c>
      <c r="AQ40" s="128"/>
      <c r="AR40" s="134"/>
      <c r="AS40" s="134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</row>
    <row r="41" spans="1:256" s="79" customFormat="1" ht="25.5" customHeight="1">
      <c r="A41" s="92" t="s">
        <v>65</v>
      </c>
      <c r="B41" s="310">
        <v>225</v>
      </c>
      <c r="C41" s="68">
        <v>282500</v>
      </c>
      <c r="D41" s="69"/>
      <c r="E41" s="69"/>
      <c r="F41" s="69"/>
      <c r="G41" s="69"/>
      <c r="H41" s="69"/>
      <c r="I41" s="69"/>
      <c r="J41" s="70">
        <f t="shared" si="16"/>
        <v>282500</v>
      </c>
      <c r="K41" s="71">
        <f t="shared" si="17"/>
        <v>0</v>
      </c>
      <c r="L41" s="72">
        <f t="shared" si="18"/>
        <v>282500</v>
      </c>
      <c r="M41" s="69"/>
      <c r="N41" s="69">
        <v>282436.2</v>
      </c>
      <c r="O41" s="69"/>
      <c r="P41" s="69"/>
      <c r="Q41" s="73"/>
      <c r="R41" s="73"/>
      <c r="S41" s="70">
        <f t="shared" si="19"/>
        <v>63.79999999998836</v>
      </c>
      <c r="T41" s="71">
        <f t="shared" si="20"/>
        <v>282436.2</v>
      </c>
      <c r="U41" s="153">
        <f t="shared" si="21"/>
        <v>63.79999999998836</v>
      </c>
      <c r="V41" s="69"/>
      <c r="W41" s="73"/>
      <c r="X41" s="73"/>
      <c r="Y41" s="73"/>
      <c r="Z41" s="73"/>
      <c r="AA41" s="69"/>
      <c r="AB41" s="70">
        <f t="shared" si="22"/>
        <v>63.79999999998836</v>
      </c>
      <c r="AC41" s="71">
        <f t="shared" si="23"/>
        <v>0</v>
      </c>
      <c r="AD41" s="72">
        <f t="shared" si="24"/>
        <v>63.79999999998836</v>
      </c>
      <c r="AE41" s="73"/>
      <c r="AF41" s="73"/>
      <c r="AG41" s="73"/>
      <c r="AH41" s="73"/>
      <c r="AI41" s="73"/>
      <c r="AJ41" s="74"/>
      <c r="AK41" s="74"/>
      <c r="AL41" s="74"/>
      <c r="AM41" s="70">
        <f t="shared" si="8"/>
        <v>63.79999999998836</v>
      </c>
      <c r="AN41" s="71">
        <f t="shared" si="15"/>
        <v>0</v>
      </c>
      <c r="AO41" s="71">
        <f t="shared" si="9"/>
        <v>282436.2</v>
      </c>
      <c r="AP41" s="71">
        <f t="shared" si="10"/>
        <v>99.97741592920354</v>
      </c>
      <c r="AQ41" s="128"/>
      <c r="AR41" s="129"/>
      <c r="AS41" s="129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</row>
    <row r="42" spans="1:256" s="79" customFormat="1" ht="18" customHeight="1">
      <c r="A42" s="92" t="s">
        <v>76</v>
      </c>
      <c r="B42" s="311"/>
      <c r="C42" s="68">
        <v>213600</v>
      </c>
      <c r="D42" s="69"/>
      <c r="E42" s="69"/>
      <c r="F42" s="69">
        <v>17800</v>
      </c>
      <c r="G42" s="69"/>
      <c r="H42" s="69">
        <v>17800</v>
      </c>
      <c r="I42" s="69"/>
      <c r="J42" s="70">
        <f t="shared" si="16"/>
        <v>178000</v>
      </c>
      <c r="K42" s="71">
        <f t="shared" si="17"/>
        <v>35600</v>
      </c>
      <c r="L42" s="72">
        <f t="shared" si="18"/>
        <v>178000</v>
      </c>
      <c r="M42" s="69">
        <v>17800</v>
      </c>
      <c r="N42" s="69"/>
      <c r="O42" s="69">
        <v>17800</v>
      </c>
      <c r="P42" s="69"/>
      <c r="Q42" s="73">
        <v>17800</v>
      </c>
      <c r="R42" s="73"/>
      <c r="S42" s="70">
        <f t="shared" si="19"/>
        <v>124600</v>
      </c>
      <c r="T42" s="71">
        <f t="shared" si="20"/>
        <v>53400</v>
      </c>
      <c r="U42" s="153">
        <f t="shared" si="21"/>
        <v>124600</v>
      </c>
      <c r="V42" s="69">
        <v>17800</v>
      </c>
      <c r="W42" s="73"/>
      <c r="X42" s="73">
        <v>17800</v>
      </c>
      <c r="Y42" s="73"/>
      <c r="Z42" s="73">
        <v>17800</v>
      </c>
      <c r="AA42" s="69"/>
      <c r="AB42" s="70">
        <f t="shared" si="22"/>
        <v>71200</v>
      </c>
      <c r="AC42" s="71">
        <f t="shared" si="23"/>
        <v>53400</v>
      </c>
      <c r="AD42" s="72">
        <f t="shared" si="24"/>
        <v>71200</v>
      </c>
      <c r="AE42" s="73">
        <v>17800</v>
      </c>
      <c r="AF42" s="73"/>
      <c r="AG42" s="73"/>
      <c r="AH42" s="73">
        <v>17800</v>
      </c>
      <c r="AI42" s="73">
        <f>17800+17800</f>
        <v>35600</v>
      </c>
      <c r="AJ42" s="74"/>
      <c r="AK42" s="74"/>
      <c r="AL42" s="74"/>
      <c r="AM42" s="70">
        <f t="shared" si="8"/>
        <v>0</v>
      </c>
      <c r="AN42" s="71">
        <f t="shared" si="15"/>
        <v>71200</v>
      </c>
      <c r="AO42" s="71">
        <f t="shared" si="9"/>
        <v>213600</v>
      </c>
      <c r="AP42" s="71">
        <f t="shared" si="10"/>
        <v>100</v>
      </c>
      <c r="AQ42" s="128"/>
      <c r="AR42" s="129"/>
      <c r="AS42" s="129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  <c r="IV42" s="112"/>
    </row>
    <row r="43" spans="1:256" s="79" customFormat="1" ht="18.75" customHeight="1">
      <c r="A43" s="94" t="s">
        <v>73</v>
      </c>
      <c r="B43" s="93">
        <v>226</v>
      </c>
      <c r="C43" s="68">
        <f>275900-275900</f>
        <v>0</v>
      </c>
      <c r="D43" s="69"/>
      <c r="E43" s="69"/>
      <c r="F43" s="69"/>
      <c r="G43" s="69"/>
      <c r="H43" s="69"/>
      <c r="I43" s="69"/>
      <c r="J43" s="70">
        <f t="shared" si="16"/>
        <v>0</v>
      </c>
      <c r="K43" s="71">
        <f t="shared" si="17"/>
        <v>0</v>
      </c>
      <c r="L43" s="72">
        <f t="shared" si="18"/>
        <v>0</v>
      </c>
      <c r="M43" s="69"/>
      <c r="N43" s="69"/>
      <c r="O43" s="69"/>
      <c r="P43" s="69"/>
      <c r="Q43" s="73"/>
      <c r="R43" s="73"/>
      <c r="S43" s="70">
        <f t="shared" si="19"/>
        <v>0</v>
      </c>
      <c r="T43" s="71">
        <f t="shared" si="20"/>
        <v>0</v>
      </c>
      <c r="U43" s="153">
        <f t="shared" si="21"/>
        <v>0</v>
      </c>
      <c r="V43" s="69"/>
      <c r="W43" s="73"/>
      <c r="X43" s="73"/>
      <c r="Y43" s="73"/>
      <c r="Z43" s="73"/>
      <c r="AA43" s="69"/>
      <c r="AB43" s="70">
        <f t="shared" si="22"/>
        <v>0</v>
      </c>
      <c r="AC43" s="71">
        <f t="shared" si="23"/>
        <v>0</v>
      </c>
      <c r="AD43" s="72">
        <f t="shared" si="24"/>
        <v>0</v>
      </c>
      <c r="AE43" s="73"/>
      <c r="AF43" s="73"/>
      <c r="AG43" s="73"/>
      <c r="AH43" s="73"/>
      <c r="AI43" s="73"/>
      <c r="AJ43" s="74"/>
      <c r="AK43" s="74"/>
      <c r="AL43" s="74"/>
      <c r="AM43" s="70">
        <f t="shared" si="8"/>
        <v>0</v>
      </c>
      <c r="AN43" s="71">
        <f t="shared" si="15"/>
        <v>0</v>
      </c>
      <c r="AO43" s="71">
        <f t="shared" si="9"/>
        <v>0</v>
      </c>
      <c r="AP43" s="71" t="e">
        <f t="shared" si="10"/>
        <v>#DIV/0!</v>
      </c>
      <c r="AQ43" s="128"/>
      <c r="AR43" s="134"/>
      <c r="AS43" s="134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  <c r="IU43" s="112"/>
      <c r="IV43" s="112"/>
    </row>
    <row r="44" spans="1:256" s="79" customFormat="1" ht="17.25" customHeight="1">
      <c r="A44" s="104" t="s">
        <v>102</v>
      </c>
      <c r="B44" s="105">
        <v>310</v>
      </c>
      <c r="C44" s="68"/>
      <c r="D44" s="69"/>
      <c r="E44" s="69"/>
      <c r="F44" s="69"/>
      <c r="G44" s="69"/>
      <c r="H44" s="69"/>
      <c r="I44" s="69"/>
      <c r="J44" s="70">
        <f t="shared" si="16"/>
        <v>0</v>
      </c>
      <c r="K44" s="71">
        <f t="shared" si="17"/>
        <v>0</v>
      </c>
      <c r="L44" s="72">
        <f t="shared" si="18"/>
        <v>0</v>
      </c>
      <c r="M44" s="69"/>
      <c r="N44" s="69"/>
      <c r="O44" s="69"/>
      <c r="P44" s="69"/>
      <c r="Q44" s="69"/>
      <c r="R44" s="69"/>
      <c r="S44" s="70">
        <f t="shared" si="19"/>
        <v>0</v>
      </c>
      <c r="T44" s="71">
        <f t="shared" si="20"/>
        <v>0</v>
      </c>
      <c r="U44" s="153">
        <f t="shared" si="21"/>
        <v>0</v>
      </c>
      <c r="V44" s="69"/>
      <c r="W44" s="69"/>
      <c r="X44" s="69"/>
      <c r="Y44" s="69"/>
      <c r="Z44" s="69"/>
      <c r="AA44" s="69"/>
      <c r="AB44" s="70">
        <f t="shared" si="22"/>
        <v>0</v>
      </c>
      <c r="AC44" s="71">
        <f t="shared" si="23"/>
        <v>0</v>
      </c>
      <c r="AD44" s="72">
        <f t="shared" si="24"/>
        <v>0</v>
      </c>
      <c r="AE44" s="69"/>
      <c r="AF44" s="69"/>
      <c r="AG44" s="69"/>
      <c r="AH44" s="69"/>
      <c r="AI44" s="69"/>
      <c r="AJ44" s="74"/>
      <c r="AK44" s="74"/>
      <c r="AL44" s="74"/>
      <c r="AM44" s="70">
        <f t="shared" si="8"/>
        <v>0</v>
      </c>
      <c r="AN44" s="71">
        <f t="shared" si="15"/>
        <v>0</v>
      </c>
      <c r="AO44" s="71">
        <f t="shared" si="9"/>
        <v>0</v>
      </c>
      <c r="AP44" s="71" t="e">
        <f t="shared" si="10"/>
        <v>#DIV/0!</v>
      </c>
      <c r="AQ44" s="128"/>
      <c r="AR44" s="129"/>
      <c r="AS44" s="129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  <c r="IV44" s="112"/>
    </row>
    <row r="45" spans="1:256" s="86" customFormat="1" ht="19.5" customHeight="1">
      <c r="A45" s="80" t="s">
        <v>27</v>
      </c>
      <c r="B45" s="81"/>
      <c r="C45" s="82">
        <f>SUM(C46)</f>
        <v>2421000</v>
      </c>
      <c r="D45" s="184"/>
      <c r="E45" s="184"/>
      <c r="F45" s="184"/>
      <c r="G45" s="184"/>
      <c r="H45" s="184"/>
      <c r="I45" s="184"/>
      <c r="J45" s="184"/>
      <c r="K45" s="184"/>
      <c r="L45" s="184"/>
      <c r="M45" s="83"/>
      <c r="N45" s="83"/>
      <c r="O45" s="83"/>
      <c r="P45" s="83"/>
      <c r="Q45" s="83"/>
      <c r="R45" s="83"/>
      <c r="S45" s="84"/>
      <c r="T45" s="102"/>
      <c r="U45" s="184"/>
      <c r="V45" s="83"/>
      <c r="W45" s="83"/>
      <c r="X45" s="83"/>
      <c r="Y45" s="83"/>
      <c r="Z45" s="83"/>
      <c r="AA45" s="83"/>
      <c r="AB45" s="84"/>
      <c r="AC45" s="102"/>
      <c r="AD45" s="184"/>
      <c r="AE45" s="83"/>
      <c r="AF45" s="83"/>
      <c r="AG45" s="83"/>
      <c r="AH45" s="83"/>
      <c r="AI45" s="83"/>
      <c r="AJ45" s="85"/>
      <c r="AK45" s="85"/>
      <c r="AL45" s="85"/>
      <c r="AM45" s="84"/>
      <c r="AN45" s="84"/>
      <c r="AO45" s="84"/>
      <c r="AP45" s="84"/>
      <c r="AQ45" s="117"/>
      <c r="AR45" s="127"/>
      <c r="AS45" s="12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</row>
    <row r="46" spans="1:256" s="79" customFormat="1" ht="16.5" customHeight="1">
      <c r="A46" s="95" t="s">
        <v>47</v>
      </c>
      <c r="B46" s="96">
        <v>291</v>
      </c>
      <c r="C46" s="68">
        <f>3956500-213600-81000-282500+6700-19200-945900</f>
        <v>2421000</v>
      </c>
      <c r="D46" s="69"/>
      <c r="E46" s="69">
        <v>11643</v>
      </c>
      <c r="F46" s="69"/>
      <c r="G46" s="69">
        <v>791</v>
      </c>
      <c r="H46" s="69"/>
      <c r="I46" s="69"/>
      <c r="J46" s="70">
        <f>C46-SUM(D46:I46)</f>
        <v>2408566</v>
      </c>
      <c r="K46" s="71">
        <f>SUM(D46:I46)</f>
        <v>12434</v>
      </c>
      <c r="L46" s="72">
        <f>C46-K46</f>
        <v>2408566</v>
      </c>
      <c r="M46" s="69"/>
      <c r="N46" s="69">
        <v>804302</v>
      </c>
      <c r="O46" s="69"/>
      <c r="P46" s="69"/>
      <c r="Q46" s="69"/>
      <c r="R46" s="69"/>
      <c r="S46" s="70">
        <f>L46-SUM(M46:R46)</f>
        <v>1604264</v>
      </c>
      <c r="T46" s="71">
        <f>SUM(M46:R46)</f>
        <v>804302</v>
      </c>
      <c r="U46" s="153">
        <f>L46-T46</f>
        <v>1604264</v>
      </c>
      <c r="V46" s="69"/>
      <c r="W46" s="73">
        <f>799919+5822</f>
        <v>805741</v>
      </c>
      <c r="X46" s="73"/>
      <c r="Y46" s="73"/>
      <c r="Z46" s="73"/>
      <c r="AA46" s="69"/>
      <c r="AB46" s="70">
        <f>U46-SUM(V46:AA46)</f>
        <v>798523</v>
      </c>
      <c r="AC46" s="71">
        <f>SUM(V46:AA46)</f>
        <v>805741</v>
      </c>
      <c r="AD46" s="72">
        <f>U46-AC46</f>
        <v>798523</v>
      </c>
      <c r="AE46" s="73"/>
      <c r="AF46" s="73">
        <f>795535+2911</f>
        <v>798446</v>
      </c>
      <c r="AG46" s="73"/>
      <c r="AH46" s="73"/>
      <c r="AI46" s="73"/>
      <c r="AJ46" s="74"/>
      <c r="AK46" s="74"/>
      <c r="AL46" s="74"/>
      <c r="AM46" s="70">
        <f>AD46-SUM(AE46:AL46)</f>
        <v>77</v>
      </c>
      <c r="AN46" s="71">
        <f>SUM(AE46:AK46)</f>
        <v>798446</v>
      </c>
      <c r="AO46" s="71">
        <f>K46+T46+AC46+AN46</f>
        <v>2420923</v>
      </c>
      <c r="AP46" s="71">
        <f>(K46+T46+AC46+AN46)/C46*100</f>
        <v>99.996819496076</v>
      </c>
      <c r="AQ46" s="128"/>
      <c r="AR46" s="129"/>
      <c r="AS46" s="129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  <c r="IV46" s="112"/>
    </row>
    <row r="47" spans="1:256" s="86" customFormat="1" ht="19.5" customHeight="1">
      <c r="A47" s="80" t="s">
        <v>28</v>
      </c>
      <c r="B47" s="81"/>
      <c r="C47" s="82">
        <f>C48</f>
        <v>0</v>
      </c>
      <c r="D47" s="184"/>
      <c r="E47" s="184"/>
      <c r="F47" s="184"/>
      <c r="G47" s="184"/>
      <c r="H47" s="184"/>
      <c r="I47" s="184"/>
      <c r="J47" s="184">
        <f>J48</f>
        <v>0</v>
      </c>
      <c r="K47" s="184">
        <f>K48</f>
        <v>0</v>
      </c>
      <c r="L47" s="184">
        <f>L48</f>
        <v>0</v>
      </c>
      <c r="M47" s="83"/>
      <c r="N47" s="83"/>
      <c r="O47" s="83"/>
      <c r="P47" s="83"/>
      <c r="Q47" s="83"/>
      <c r="R47" s="83"/>
      <c r="S47" s="102">
        <f>S48</f>
        <v>0</v>
      </c>
      <c r="T47" s="102">
        <f>T48</f>
        <v>0</v>
      </c>
      <c r="U47" s="184">
        <f>U48</f>
        <v>0</v>
      </c>
      <c r="V47" s="83"/>
      <c r="W47" s="83"/>
      <c r="X47" s="83"/>
      <c r="Y47" s="83"/>
      <c r="Z47" s="83"/>
      <c r="AA47" s="83"/>
      <c r="AB47" s="102">
        <f>AB48</f>
        <v>0</v>
      </c>
      <c r="AC47" s="102">
        <f>AC48</f>
        <v>0</v>
      </c>
      <c r="AD47" s="184">
        <f>AD48</f>
        <v>0</v>
      </c>
      <c r="AE47" s="83"/>
      <c r="AF47" s="83"/>
      <c r="AG47" s="83"/>
      <c r="AH47" s="83"/>
      <c r="AI47" s="83"/>
      <c r="AJ47" s="85"/>
      <c r="AK47" s="85"/>
      <c r="AL47" s="85"/>
      <c r="AM47" s="84"/>
      <c r="AN47" s="84"/>
      <c r="AO47" s="84"/>
      <c r="AP47" s="84"/>
      <c r="AQ47" s="117"/>
      <c r="AR47" s="127"/>
      <c r="AS47" s="12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</row>
    <row r="48" spans="1:256" s="79" customFormat="1" ht="16.5" customHeight="1">
      <c r="A48" s="95" t="s">
        <v>21</v>
      </c>
      <c r="B48" s="96">
        <v>291</v>
      </c>
      <c r="C48" s="68"/>
      <c r="D48" s="69"/>
      <c r="E48" s="69"/>
      <c r="F48" s="69"/>
      <c r="G48" s="69"/>
      <c r="H48" s="69"/>
      <c r="I48" s="69"/>
      <c r="J48" s="70">
        <f>C48-SUM(D48:I48)</f>
        <v>0</v>
      </c>
      <c r="K48" s="71">
        <f>SUM(D48:I48)</f>
        <v>0</v>
      </c>
      <c r="L48" s="72">
        <f>C48-K48</f>
        <v>0</v>
      </c>
      <c r="M48" s="69"/>
      <c r="N48" s="69"/>
      <c r="O48" s="69"/>
      <c r="P48" s="69"/>
      <c r="Q48" s="69"/>
      <c r="R48" s="69"/>
      <c r="S48" s="70">
        <f>L48-SUM(M48:R48)</f>
        <v>0</v>
      </c>
      <c r="T48" s="71">
        <f>SUM(M48:R48)</f>
        <v>0</v>
      </c>
      <c r="U48" s="153">
        <f>L48-T48</f>
        <v>0</v>
      </c>
      <c r="V48" s="69"/>
      <c r="W48" s="73"/>
      <c r="X48" s="73"/>
      <c r="Y48" s="73"/>
      <c r="Z48" s="73"/>
      <c r="AA48" s="69"/>
      <c r="AB48" s="70">
        <f>U48-SUM(V48:AA48)</f>
        <v>0</v>
      </c>
      <c r="AC48" s="71">
        <f>SUM(V48:AA48)</f>
        <v>0</v>
      </c>
      <c r="AD48" s="72">
        <f>U48-AC48</f>
        <v>0</v>
      </c>
      <c r="AE48" s="73"/>
      <c r="AF48" s="73"/>
      <c r="AG48" s="73"/>
      <c r="AH48" s="73"/>
      <c r="AI48" s="73"/>
      <c r="AJ48" s="74"/>
      <c r="AK48" s="74"/>
      <c r="AL48" s="74"/>
      <c r="AM48" s="70">
        <f>AD48-SUM(AE48:AL48)</f>
        <v>0</v>
      </c>
      <c r="AN48" s="71">
        <f>SUM(AE48:AK48)</f>
        <v>0</v>
      </c>
      <c r="AO48" s="71">
        <f>K48+T48+AC48+AN48</f>
        <v>0</v>
      </c>
      <c r="AP48" s="71" t="e">
        <f>(K48+T48+AC48+AN48)/C48*100</f>
        <v>#DIV/0!</v>
      </c>
      <c r="AQ48" s="128"/>
      <c r="AR48" s="129"/>
      <c r="AS48" s="129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</row>
    <row r="49" spans="1:256" s="86" customFormat="1" ht="19.5" customHeight="1">
      <c r="A49" s="80" t="s">
        <v>29</v>
      </c>
      <c r="B49" s="81"/>
      <c r="C49" s="82">
        <f>C50+C51</f>
        <v>88700</v>
      </c>
      <c r="D49" s="184"/>
      <c r="E49" s="184"/>
      <c r="F49" s="184"/>
      <c r="G49" s="184"/>
      <c r="H49" s="184"/>
      <c r="I49" s="184"/>
      <c r="J49" s="184">
        <f>J50</f>
        <v>52000</v>
      </c>
      <c r="K49" s="184">
        <f>K50</f>
        <v>30000</v>
      </c>
      <c r="L49" s="82">
        <f>L50</f>
        <v>52000</v>
      </c>
      <c r="M49" s="83"/>
      <c r="N49" s="83"/>
      <c r="O49" s="83"/>
      <c r="P49" s="83"/>
      <c r="Q49" s="83"/>
      <c r="R49" s="83"/>
      <c r="S49" s="84"/>
      <c r="T49" s="84"/>
      <c r="U49" s="82">
        <f>U50</f>
        <v>1980.7099999999991</v>
      </c>
      <c r="V49" s="83"/>
      <c r="W49" s="83"/>
      <c r="X49" s="83"/>
      <c r="Y49" s="83"/>
      <c r="Z49" s="83"/>
      <c r="AA49" s="83"/>
      <c r="AB49" s="84"/>
      <c r="AC49" s="84"/>
      <c r="AD49" s="82">
        <f>AD50</f>
        <v>1213.559999999999</v>
      </c>
      <c r="AE49" s="83"/>
      <c r="AF49" s="83"/>
      <c r="AG49" s="83"/>
      <c r="AH49" s="83"/>
      <c r="AI49" s="83"/>
      <c r="AJ49" s="85"/>
      <c r="AK49" s="85"/>
      <c r="AL49" s="85"/>
      <c r="AM49" s="84"/>
      <c r="AN49" s="84"/>
      <c r="AO49" s="84"/>
      <c r="AP49" s="84"/>
      <c r="AQ49" s="117"/>
      <c r="AR49" s="127"/>
      <c r="AS49" s="12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</row>
    <row r="50" spans="1:256" s="79" customFormat="1" ht="16.5" customHeight="1">
      <c r="A50" s="95" t="s">
        <v>48</v>
      </c>
      <c r="B50" s="143">
        <v>292</v>
      </c>
      <c r="C50" s="68">
        <f>81000-6700+19200-11500</f>
        <v>82000</v>
      </c>
      <c r="D50" s="69"/>
      <c r="E50" s="69">
        <v>30000</v>
      </c>
      <c r="F50" s="69"/>
      <c r="G50" s="69"/>
      <c r="H50" s="69"/>
      <c r="I50" s="69"/>
      <c r="J50" s="70">
        <f>C50-SUM(D50:I50)</f>
        <v>52000</v>
      </c>
      <c r="K50" s="71">
        <f>SUM(D50:I50)</f>
        <v>30000</v>
      </c>
      <c r="L50" s="72">
        <f>C50-K50</f>
        <v>52000</v>
      </c>
      <c r="M50" s="69">
        <v>50000</v>
      </c>
      <c r="N50" s="69"/>
      <c r="O50" s="69"/>
      <c r="P50" s="69">
        <v>19.29</v>
      </c>
      <c r="Q50" s="69"/>
      <c r="R50" s="69"/>
      <c r="S50" s="70">
        <f>L50-SUM(M50:R50)</f>
        <v>1980.7099999999991</v>
      </c>
      <c r="T50" s="71">
        <f>SUM(M50:R50)</f>
        <v>50019.29</v>
      </c>
      <c r="U50" s="153">
        <f>L50-T50</f>
        <v>1980.7099999999991</v>
      </c>
      <c r="V50" s="69"/>
      <c r="W50" s="73"/>
      <c r="X50" s="73"/>
      <c r="Y50" s="73"/>
      <c r="Z50" s="73"/>
      <c r="AA50" s="69">
        <f>755.96+11.19</f>
        <v>767.1500000000001</v>
      </c>
      <c r="AB50" s="70">
        <f>U50-SUM(V50:AA50)</f>
        <v>1213.559999999999</v>
      </c>
      <c r="AC50" s="71">
        <f>SUM(V50:AA50)</f>
        <v>767.1500000000001</v>
      </c>
      <c r="AD50" s="72">
        <f>U50-AC50</f>
        <v>1213.559999999999</v>
      </c>
      <c r="AE50" s="73"/>
      <c r="AF50" s="73">
        <v>1174.95</v>
      </c>
      <c r="AG50" s="73"/>
      <c r="AH50" s="73"/>
      <c r="AI50" s="73"/>
      <c r="AJ50" s="74"/>
      <c r="AK50" s="74"/>
      <c r="AL50" s="74"/>
      <c r="AM50" s="70">
        <f>AD50-SUM(AE50:AL50)</f>
        <v>38.60999999999899</v>
      </c>
      <c r="AN50" s="71">
        <f>SUM(AE50:AK50)</f>
        <v>1174.95</v>
      </c>
      <c r="AO50" s="71">
        <f>K50+T50+AC50+AN50</f>
        <v>81961.39</v>
      </c>
      <c r="AP50" s="71">
        <f>(K50+T50+AC50+AN50)/C50*100</f>
        <v>99.95291463414634</v>
      </c>
      <c r="AQ50" s="128"/>
      <c r="AR50" s="129"/>
      <c r="AS50" s="129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spans="1:256" s="79" customFormat="1" ht="16.5" customHeight="1">
      <c r="A51" s="95" t="s">
        <v>103</v>
      </c>
      <c r="B51" s="143">
        <v>296</v>
      </c>
      <c r="C51" s="68">
        <v>6700</v>
      </c>
      <c r="D51" s="69"/>
      <c r="E51" s="69"/>
      <c r="F51" s="69"/>
      <c r="G51" s="69"/>
      <c r="H51" s="69"/>
      <c r="I51" s="69"/>
      <c r="J51" s="70">
        <f>C51-SUM(D51:I51)</f>
        <v>6700</v>
      </c>
      <c r="K51" s="71">
        <f>SUM(D51:I51)</f>
        <v>0</v>
      </c>
      <c r="L51" s="72">
        <f>C51-K51</f>
        <v>6700</v>
      </c>
      <c r="M51" s="69"/>
      <c r="N51" s="69"/>
      <c r="O51" s="69"/>
      <c r="P51" s="69"/>
      <c r="Q51" s="69"/>
      <c r="R51" s="69"/>
      <c r="S51" s="70">
        <f>L51-SUM(M51:R51)</f>
        <v>6700</v>
      </c>
      <c r="T51" s="71">
        <f>SUM(M51:R51)</f>
        <v>0</v>
      </c>
      <c r="U51" s="153">
        <f>L51-T51</f>
        <v>6700</v>
      </c>
      <c r="V51" s="69"/>
      <c r="W51" s="73"/>
      <c r="X51" s="73"/>
      <c r="Y51" s="73">
        <v>6649.31</v>
      </c>
      <c r="Z51" s="73"/>
      <c r="AA51" s="69"/>
      <c r="AB51" s="70">
        <f>U51-SUM(V51:AA51)</f>
        <v>50.6899999999996</v>
      </c>
      <c r="AC51" s="71">
        <f>SUM(V51:AA51)</f>
        <v>6649.31</v>
      </c>
      <c r="AD51" s="72">
        <f>U51-AC51</f>
        <v>50.6899999999996</v>
      </c>
      <c r="AE51" s="73"/>
      <c r="AF51" s="73"/>
      <c r="AG51" s="73"/>
      <c r="AH51" s="73"/>
      <c r="AI51" s="73"/>
      <c r="AJ51" s="74"/>
      <c r="AK51" s="74"/>
      <c r="AL51" s="74"/>
      <c r="AM51" s="70">
        <f>AD51-SUM(AE51:AL51)</f>
        <v>50.6899999999996</v>
      </c>
      <c r="AN51" s="71">
        <f>SUM(AE51:AK51)</f>
        <v>0</v>
      </c>
      <c r="AO51" s="71">
        <f>K51+T51+AC51+AN51</f>
        <v>6649.31</v>
      </c>
      <c r="AP51" s="71">
        <f>(K51+T51+AC51+AN51)/C51*100</f>
        <v>99.2434328358209</v>
      </c>
      <c r="AQ51" s="128"/>
      <c r="AR51" s="129"/>
      <c r="AS51" s="129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  <c r="IV51" s="112"/>
    </row>
    <row r="52" spans="1:256" s="108" customFormat="1" ht="17.25" customHeight="1" collapsed="1">
      <c r="A52" s="144" t="s">
        <v>33</v>
      </c>
      <c r="B52" s="150"/>
      <c r="C52" s="148">
        <f>C35+C45+C47+C49</f>
        <v>25706900</v>
      </c>
      <c r="D52" s="148">
        <f aca="true" t="shared" si="25" ref="D52:L52">SUM(D37:D50)</f>
        <v>0</v>
      </c>
      <c r="E52" s="148">
        <f t="shared" si="25"/>
        <v>1406097.5699999998</v>
      </c>
      <c r="F52" s="148">
        <f t="shared" si="25"/>
        <v>17800</v>
      </c>
      <c r="G52" s="148">
        <f t="shared" si="25"/>
        <v>791</v>
      </c>
      <c r="H52" s="148">
        <f t="shared" si="25"/>
        <v>3199710.45</v>
      </c>
      <c r="I52" s="148">
        <f t="shared" si="25"/>
        <v>0</v>
      </c>
      <c r="J52" s="149">
        <f t="shared" si="25"/>
        <v>21127800.98</v>
      </c>
      <c r="K52" s="149">
        <f t="shared" si="25"/>
        <v>4654399.02</v>
      </c>
      <c r="L52" s="148">
        <f t="shared" si="25"/>
        <v>21127800.98</v>
      </c>
      <c r="M52" s="148">
        <f aca="true" t="shared" si="26" ref="M52:R52">SUM(M36:M50)</f>
        <v>2230861.45</v>
      </c>
      <c r="N52" s="148">
        <f t="shared" si="26"/>
        <v>3268945.5900000003</v>
      </c>
      <c r="O52" s="148">
        <f t="shared" si="26"/>
        <v>17800</v>
      </c>
      <c r="P52" s="148">
        <f t="shared" si="26"/>
        <v>2095250.4199999997</v>
      </c>
      <c r="Q52" s="148">
        <f t="shared" si="26"/>
        <v>17800</v>
      </c>
      <c r="R52" s="148">
        <f t="shared" si="26"/>
        <v>1654732.5999999999</v>
      </c>
      <c r="S52" s="149">
        <f>SUM(S37:S50)</f>
        <v>11790410.920000004</v>
      </c>
      <c r="T52" s="149">
        <f>SUM(T37:T50)</f>
        <v>9285390.059999999</v>
      </c>
      <c r="U52" s="148">
        <f>SUM(U37:U50)</f>
        <v>11792391.630000005</v>
      </c>
      <c r="V52" s="148">
        <f aca="true" t="shared" si="27" ref="V52:AA52">SUM(V36:V50)</f>
        <v>17800</v>
      </c>
      <c r="W52" s="148">
        <f t="shared" si="27"/>
        <v>1941092.01</v>
      </c>
      <c r="X52" s="148">
        <f t="shared" si="27"/>
        <v>17800</v>
      </c>
      <c r="Y52" s="148">
        <f>SUM(Y36:Y51)</f>
        <v>764268.74</v>
      </c>
      <c r="Z52" s="148">
        <f t="shared" si="27"/>
        <v>17800</v>
      </c>
      <c r="AA52" s="148">
        <f t="shared" si="27"/>
        <v>824339.4400000001</v>
      </c>
      <c r="AB52" s="149">
        <f>SUM(AB37:AB50)</f>
        <v>8213960.04</v>
      </c>
      <c r="AC52" s="149">
        <f>SUM(AC37:AC51)</f>
        <v>3583100.1900000004</v>
      </c>
      <c r="AD52" s="148">
        <f>SUM(AD37:AD50)</f>
        <v>8215173.6</v>
      </c>
      <c r="AE52" s="148">
        <f>SUM(AE37:AE50)</f>
        <v>17800</v>
      </c>
      <c r="AF52" s="148">
        <f>SUM(AF36:AF51)</f>
        <v>1683921.4000000001</v>
      </c>
      <c r="AG52" s="148">
        <f>SUM(AG37:AG50)</f>
        <v>0</v>
      </c>
      <c r="AH52" s="148">
        <f>SUM(AH36:AH50)</f>
        <v>1543419.1199999996</v>
      </c>
      <c r="AI52" s="148">
        <f>SUM(AI36:AI50)</f>
        <v>35600</v>
      </c>
      <c r="AJ52" s="148">
        <f>SUM(AJ36:AJ50)</f>
        <v>1751048.32</v>
      </c>
      <c r="AK52" s="148">
        <f>SUM(AK36:AK50)</f>
        <v>2946237.42</v>
      </c>
      <c r="AL52" s="148">
        <f>SUM(AL36:AL50)</f>
        <v>235754.37</v>
      </c>
      <c r="AM52" s="149">
        <f>SUM(AM37:AM51)</f>
        <v>230.09999999998695</v>
      </c>
      <c r="AN52" s="149">
        <f>SUM(AN37:AN50)</f>
        <v>8213780.63</v>
      </c>
      <c r="AO52" s="149">
        <f>SUM(AO37:AO51)</f>
        <v>25706669.9</v>
      </c>
      <c r="AP52" s="149">
        <f>(K52+T52+AC52+AN52)/C52*100</f>
        <v>100.1158050951301</v>
      </c>
      <c r="AQ52" s="120"/>
      <c r="AR52" s="138"/>
      <c r="AS52" s="138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s="16" customFormat="1" ht="10.5" customHeight="1">
      <c r="A53" s="320"/>
      <c r="B53" s="321"/>
      <c r="C53" s="11"/>
      <c r="D53" s="12"/>
      <c r="E53" s="12"/>
      <c r="F53" s="12"/>
      <c r="G53" s="12"/>
      <c r="H53" s="12"/>
      <c r="I53" s="12"/>
      <c r="J53" s="13"/>
      <c r="K53" s="13"/>
      <c r="L53" s="12"/>
      <c r="M53" s="12"/>
      <c r="N53" s="12"/>
      <c r="O53" s="12"/>
      <c r="P53" s="12"/>
      <c r="Q53" s="12"/>
      <c r="R53" s="12"/>
      <c r="S53" s="13"/>
      <c r="T53" s="13"/>
      <c r="U53" s="152"/>
      <c r="V53" s="12"/>
      <c r="W53" s="12"/>
      <c r="X53" s="12"/>
      <c r="Y53" s="12"/>
      <c r="Z53" s="12"/>
      <c r="AA53" s="12"/>
      <c r="AB53" s="13"/>
      <c r="AC53" s="13"/>
      <c r="AD53" s="12"/>
      <c r="AE53" s="12"/>
      <c r="AF53" s="12"/>
      <c r="AG53" s="12"/>
      <c r="AH53" s="12"/>
      <c r="AI53" s="12"/>
      <c r="AJ53" s="15"/>
      <c r="AK53" s="15"/>
      <c r="AL53" s="15"/>
      <c r="AM53" s="13"/>
      <c r="AN53" s="13"/>
      <c r="AO53" s="13"/>
      <c r="AP53" s="13"/>
      <c r="AQ53" s="111"/>
      <c r="AR53" s="126"/>
      <c r="AS53" s="126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  <c r="IO53" s="111"/>
      <c r="IP53" s="111"/>
      <c r="IQ53" s="111"/>
      <c r="IR53" s="111"/>
      <c r="IS53" s="111"/>
      <c r="IT53" s="111"/>
      <c r="IU53" s="111"/>
      <c r="IV53" s="111"/>
    </row>
    <row r="54" spans="1:256" s="28" customFormat="1" ht="17.25" customHeight="1">
      <c r="A54" s="154" t="s">
        <v>34</v>
      </c>
      <c r="B54" s="159"/>
      <c r="C54" s="155">
        <f>C33+C52</f>
        <v>127112200</v>
      </c>
      <c r="D54" s="155">
        <f aca="true" t="shared" si="28" ref="D54:AO54">D33+D52</f>
        <v>0</v>
      </c>
      <c r="E54" s="155">
        <f t="shared" si="28"/>
        <v>1558626.5399999998</v>
      </c>
      <c r="F54" s="155">
        <f>F33+F52</f>
        <v>6917546.75</v>
      </c>
      <c r="G54" s="155">
        <f t="shared" si="28"/>
        <v>559286.81</v>
      </c>
      <c r="H54" s="155">
        <f>H33+H52</f>
        <v>9277187.309999999</v>
      </c>
      <c r="I54" s="155">
        <f t="shared" si="28"/>
        <v>656686.73</v>
      </c>
      <c r="J54" s="156">
        <f>J33+J52</f>
        <v>108188165.86000001</v>
      </c>
      <c r="K54" s="156">
        <f t="shared" si="28"/>
        <v>18999334.14</v>
      </c>
      <c r="L54" s="155">
        <f>L33+L52</f>
        <v>108188165.86000001</v>
      </c>
      <c r="M54" s="155">
        <f t="shared" si="28"/>
        <v>12751353.98</v>
      </c>
      <c r="N54" s="155">
        <f t="shared" si="28"/>
        <v>6522487.11</v>
      </c>
      <c r="O54" s="155">
        <f t="shared" si="28"/>
        <v>7895374.65</v>
      </c>
      <c r="P54" s="155">
        <f t="shared" si="28"/>
        <v>5647564.3</v>
      </c>
      <c r="Q54" s="155">
        <f t="shared" si="28"/>
        <v>8881745.41</v>
      </c>
      <c r="R54" s="155">
        <f t="shared" si="28"/>
        <v>3529210.1199999996</v>
      </c>
      <c r="S54" s="156">
        <f t="shared" si="28"/>
        <v>62908430.290000014</v>
      </c>
      <c r="T54" s="156">
        <f t="shared" si="28"/>
        <v>45227735.56999999</v>
      </c>
      <c r="U54" s="155">
        <f t="shared" si="28"/>
        <v>62910411.000000015</v>
      </c>
      <c r="V54" s="155">
        <f t="shared" si="28"/>
        <v>6450799.11</v>
      </c>
      <c r="W54" s="155">
        <f>W33+W52</f>
        <v>2616314.62</v>
      </c>
      <c r="X54" s="155">
        <f t="shared" si="28"/>
        <v>3770721.13</v>
      </c>
      <c r="Y54" s="155">
        <f t="shared" si="28"/>
        <v>1074553.52</v>
      </c>
      <c r="Z54" s="155">
        <f t="shared" si="28"/>
        <v>8442949.6</v>
      </c>
      <c r="AA54" s="155">
        <f t="shared" si="28"/>
        <v>1526896.34</v>
      </c>
      <c r="AB54" s="156">
        <f t="shared" si="28"/>
        <v>39032845.28000001</v>
      </c>
      <c r="AC54" s="156">
        <f t="shared" si="28"/>
        <v>23882234.320000004</v>
      </c>
      <c r="AD54" s="155">
        <f t="shared" si="28"/>
        <v>39034058.84</v>
      </c>
      <c r="AE54" s="155">
        <f t="shared" si="28"/>
        <v>4723307.9399999995</v>
      </c>
      <c r="AF54" s="155">
        <f t="shared" si="28"/>
        <v>1963209.4000000001</v>
      </c>
      <c r="AG54" s="155">
        <f t="shared" si="28"/>
        <v>8301978.01</v>
      </c>
      <c r="AH54" s="155">
        <f>AH33+AH52</f>
        <v>3593144.9699999997</v>
      </c>
      <c r="AI54" s="155">
        <f t="shared" si="28"/>
        <v>6930991.449999999</v>
      </c>
      <c r="AJ54" s="155">
        <f t="shared" si="28"/>
        <v>1764200.32</v>
      </c>
      <c r="AK54" s="155">
        <f t="shared" si="28"/>
        <v>11491385.290000001</v>
      </c>
      <c r="AL54" s="155">
        <f t="shared" si="28"/>
        <v>290254.37</v>
      </c>
      <c r="AM54" s="156">
        <f t="shared" si="28"/>
        <v>-25575.77999999988</v>
      </c>
      <c r="AN54" s="156">
        <f t="shared" si="28"/>
        <v>39003971.75</v>
      </c>
      <c r="AO54" s="155">
        <f t="shared" si="28"/>
        <v>127083275.78</v>
      </c>
      <c r="AP54" s="156">
        <f>(K54+T54+AC54+AN54)/C54*100</f>
        <v>100.00084632316961</v>
      </c>
      <c r="AQ54" s="43"/>
      <c r="AR54" s="139"/>
      <c r="AS54" s="139"/>
      <c r="AT54" s="43"/>
      <c r="AU54" s="43"/>
      <c r="AV54" s="44"/>
      <c r="AW54" s="44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1:256" s="278" customFormat="1" ht="32.25" customHeight="1">
      <c r="A55" s="313" t="s">
        <v>75</v>
      </c>
      <c r="B55" s="313"/>
      <c r="C55" s="279"/>
      <c r="D55" s="280"/>
      <c r="E55" s="280"/>
      <c r="F55" s="280"/>
      <c r="G55" s="280"/>
      <c r="H55" s="280"/>
      <c r="I55" s="280"/>
      <c r="J55" s="281"/>
      <c r="K55" s="281"/>
      <c r="L55" s="280"/>
      <c r="M55" s="280"/>
      <c r="N55" s="280"/>
      <c r="O55" s="280"/>
      <c r="P55" s="280"/>
      <c r="Q55" s="280"/>
      <c r="R55" s="280"/>
      <c r="S55" s="281"/>
      <c r="T55" s="281"/>
      <c r="U55" s="280"/>
      <c r="V55" s="280"/>
      <c r="W55" s="280"/>
      <c r="X55" s="280"/>
      <c r="Y55" s="280"/>
      <c r="Z55" s="280"/>
      <c r="AA55" s="280"/>
      <c r="AB55" s="281"/>
      <c r="AC55" s="281"/>
      <c r="AD55" s="280"/>
      <c r="AE55" s="280"/>
      <c r="AF55" s="280"/>
      <c r="AG55" s="280"/>
      <c r="AH55" s="280"/>
      <c r="AI55" s="280"/>
      <c r="AJ55" s="280"/>
      <c r="AK55" s="280"/>
      <c r="AL55" s="280"/>
      <c r="AM55" s="281"/>
      <c r="AN55" s="281"/>
      <c r="AO55" s="280"/>
      <c r="AP55" s="280"/>
      <c r="AQ55" s="275"/>
      <c r="AR55" s="276"/>
      <c r="AS55" s="276"/>
      <c r="AT55" s="275"/>
      <c r="AU55" s="275"/>
      <c r="AV55" s="275"/>
      <c r="AW55" s="277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  <c r="DZ55" s="275"/>
      <c r="EA55" s="275"/>
      <c r="EB55" s="275"/>
      <c r="EC55" s="275"/>
      <c r="ED55" s="275"/>
      <c r="EE55" s="275"/>
      <c r="EF55" s="275"/>
      <c r="EG55" s="275"/>
      <c r="EH55" s="275"/>
      <c r="EI55" s="275"/>
      <c r="EJ55" s="275"/>
      <c r="EK55" s="275"/>
      <c r="EL55" s="275"/>
      <c r="EM55" s="275"/>
      <c r="EN55" s="275"/>
      <c r="EO55" s="275"/>
      <c r="EP55" s="275"/>
      <c r="EQ55" s="275"/>
      <c r="ER55" s="275"/>
      <c r="ES55" s="275"/>
      <c r="ET55" s="275"/>
      <c r="EU55" s="275"/>
      <c r="EV55" s="275"/>
      <c r="EW55" s="275"/>
      <c r="EX55" s="275"/>
      <c r="EY55" s="275"/>
      <c r="EZ55" s="275"/>
      <c r="FA55" s="275"/>
      <c r="FB55" s="275"/>
      <c r="FC55" s="275"/>
      <c r="FD55" s="275"/>
      <c r="FE55" s="275"/>
      <c r="FF55" s="275"/>
      <c r="FG55" s="275"/>
      <c r="FH55" s="275"/>
      <c r="FI55" s="275"/>
      <c r="FJ55" s="275"/>
      <c r="FK55" s="275"/>
      <c r="FL55" s="275"/>
      <c r="FM55" s="275"/>
      <c r="FN55" s="275"/>
      <c r="FO55" s="275"/>
      <c r="FP55" s="275"/>
      <c r="FQ55" s="275"/>
      <c r="FR55" s="275"/>
      <c r="FS55" s="275"/>
      <c r="FT55" s="275"/>
      <c r="FU55" s="275"/>
      <c r="FV55" s="275"/>
      <c r="FW55" s="275"/>
      <c r="FX55" s="275"/>
      <c r="FY55" s="275"/>
      <c r="FZ55" s="275"/>
      <c r="GA55" s="275"/>
      <c r="GB55" s="275"/>
      <c r="GC55" s="275"/>
      <c r="GD55" s="275"/>
      <c r="GE55" s="275"/>
      <c r="GF55" s="275"/>
      <c r="GG55" s="275"/>
      <c r="GH55" s="275"/>
      <c r="GI55" s="275"/>
      <c r="GJ55" s="275"/>
      <c r="GK55" s="275"/>
      <c r="GL55" s="275"/>
      <c r="GM55" s="275"/>
      <c r="GN55" s="275"/>
      <c r="GO55" s="275"/>
      <c r="GP55" s="275"/>
      <c r="GQ55" s="275"/>
      <c r="GR55" s="275"/>
      <c r="GS55" s="275"/>
      <c r="GT55" s="275"/>
      <c r="GU55" s="275"/>
      <c r="GV55" s="275"/>
      <c r="GW55" s="275"/>
      <c r="GX55" s="275"/>
      <c r="GY55" s="275"/>
      <c r="GZ55" s="275"/>
      <c r="HA55" s="275"/>
      <c r="HB55" s="275"/>
      <c r="HC55" s="275"/>
      <c r="HD55" s="275"/>
      <c r="HE55" s="275"/>
      <c r="HF55" s="275"/>
      <c r="HG55" s="275"/>
      <c r="HH55" s="275"/>
      <c r="HI55" s="275"/>
      <c r="HJ55" s="275"/>
      <c r="HK55" s="275"/>
      <c r="HL55" s="275"/>
      <c r="HM55" s="275"/>
      <c r="HN55" s="275"/>
      <c r="HO55" s="275"/>
      <c r="HP55" s="275"/>
      <c r="HQ55" s="275"/>
      <c r="HR55" s="275"/>
      <c r="HS55" s="275"/>
      <c r="HT55" s="275"/>
      <c r="HU55" s="275"/>
      <c r="HV55" s="275"/>
      <c r="HW55" s="275"/>
      <c r="HX55" s="275"/>
      <c r="HY55" s="275"/>
      <c r="HZ55" s="275"/>
      <c r="IA55" s="275"/>
      <c r="IB55" s="275"/>
      <c r="IC55" s="275"/>
      <c r="ID55" s="275"/>
      <c r="IE55" s="275"/>
      <c r="IF55" s="275"/>
      <c r="IG55" s="275"/>
      <c r="IH55" s="275"/>
      <c r="II55" s="275"/>
      <c r="IJ55" s="275"/>
      <c r="IK55" s="275"/>
      <c r="IL55" s="275"/>
      <c r="IM55" s="275"/>
      <c r="IN55" s="275"/>
      <c r="IO55" s="275"/>
      <c r="IP55" s="275"/>
      <c r="IQ55" s="275"/>
      <c r="IR55" s="275"/>
      <c r="IS55" s="275"/>
      <c r="IT55" s="275"/>
      <c r="IU55" s="275"/>
      <c r="IV55" s="275"/>
    </row>
    <row r="56" spans="1:256" s="30" customFormat="1" ht="18">
      <c r="A56" s="314" t="s">
        <v>77</v>
      </c>
      <c r="B56" s="314"/>
      <c r="C56" s="29"/>
      <c r="J56" s="31"/>
      <c r="K56" s="31"/>
      <c r="S56" s="31"/>
      <c r="T56" s="31"/>
      <c r="U56" s="115"/>
      <c r="V56" s="32"/>
      <c r="Z56" s="32"/>
      <c r="AB56" s="31"/>
      <c r="AC56" s="31"/>
      <c r="AE56" s="33"/>
      <c r="AF56" s="33"/>
      <c r="AI56" s="32"/>
      <c r="AM56" s="31"/>
      <c r="AN56" s="31"/>
      <c r="AQ56" s="114"/>
      <c r="AR56" s="140"/>
      <c r="AS56" s="140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  <c r="IV56" s="114"/>
    </row>
    <row r="57" spans="1:256" s="162" customFormat="1" ht="33.75" customHeight="1">
      <c r="A57" s="169" t="s">
        <v>50</v>
      </c>
      <c r="B57" s="160">
        <v>214</v>
      </c>
      <c r="C57" s="161">
        <f>5790000-115385-4000+179600+95100-72800</f>
        <v>5872515</v>
      </c>
      <c r="E57" s="163"/>
      <c r="F57" s="163"/>
      <c r="G57" s="163"/>
      <c r="H57" s="163">
        <f>100000+90000+135000</f>
        <v>325000</v>
      </c>
      <c r="I57" s="163">
        <f>90000+225000+135000+135000+270000+90000+90000+225000+180000+180000+180000+135000+90000+135000+135000+135000+90000+135000+180000+180000+225000+135000+75000+90000+90000+180000+135000+135000+90000+90000+135000+135000+90000+90000+90000+10000+90000+90000</f>
        <v>4990000</v>
      </c>
      <c r="J57" s="164">
        <f>C57-SUM(D57:I57)</f>
        <v>557515</v>
      </c>
      <c r="K57" s="164">
        <f>SUM(D57:I57)</f>
        <v>5315000</v>
      </c>
      <c r="L57" s="163">
        <f>C57-K57</f>
        <v>557515</v>
      </c>
      <c r="M57" s="163"/>
      <c r="N57" s="163"/>
      <c r="O57" s="163"/>
      <c r="P57" s="163"/>
      <c r="Q57" s="163">
        <v>80000</v>
      </c>
      <c r="R57" s="163">
        <f>90000+135000</f>
        <v>225000</v>
      </c>
      <c r="S57" s="164">
        <f>L57-SUM(M57:R57)</f>
        <v>252515</v>
      </c>
      <c r="T57" s="164">
        <f>SUM(M57:R57)</f>
        <v>305000</v>
      </c>
      <c r="U57" s="165">
        <f>L57-T57</f>
        <v>252515</v>
      </c>
      <c r="V57" s="163"/>
      <c r="W57" s="163"/>
      <c r="X57" s="163">
        <v>50600</v>
      </c>
      <c r="Y57" s="163"/>
      <c r="Z57" s="163"/>
      <c r="AA57" s="163"/>
      <c r="AB57" s="164">
        <f>U57-SUM(V57:AA57)</f>
        <v>201915</v>
      </c>
      <c r="AC57" s="164">
        <f>SUM(V57:AA57)</f>
        <v>50600</v>
      </c>
      <c r="AD57" s="163">
        <f>U57-AC57</f>
        <v>201915</v>
      </c>
      <c r="AE57" s="163"/>
      <c r="AF57" s="163"/>
      <c r="AG57" s="163"/>
      <c r="AH57" s="163"/>
      <c r="AI57" s="163">
        <v>201904.65</v>
      </c>
      <c r="AJ57" s="163"/>
      <c r="AK57" s="163"/>
      <c r="AL57" s="163"/>
      <c r="AM57" s="164">
        <f>AD57-SUM(AE57:AL57)</f>
        <v>10.35000000000582</v>
      </c>
      <c r="AN57" s="164">
        <f>SUM(AE57:AK57)</f>
        <v>201904.65</v>
      </c>
      <c r="AO57" s="163">
        <f>K57+T57+AC57+AN57</f>
        <v>5872504.65</v>
      </c>
      <c r="AP57" s="166">
        <f>(K57+T57+AC57+AN57)/C57*100</f>
        <v>99.99982375523946</v>
      </c>
      <c r="AQ57" s="167"/>
      <c r="AR57" s="168"/>
      <c r="AS57" s="168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:256" s="162" customFormat="1" ht="21.75" customHeight="1">
      <c r="A58" s="169" t="s">
        <v>55</v>
      </c>
      <c r="B58" s="160">
        <v>222</v>
      </c>
      <c r="C58" s="161">
        <f>115385+4000+205200</f>
        <v>324585</v>
      </c>
      <c r="F58" s="163"/>
      <c r="G58" s="163"/>
      <c r="H58" s="163"/>
      <c r="I58" s="163"/>
      <c r="J58" s="164">
        <f>C58-SUM(D58:I58)</f>
        <v>324585</v>
      </c>
      <c r="K58" s="164">
        <f>SUM(D58:I58)</f>
        <v>0</v>
      </c>
      <c r="L58" s="163">
        <f>C58-K58</f>
        <v>324585</v>
      </c>
      <c r="M58" s="163"/>
      <c r="N58" s="163">
        <v>31400</v>
      </c>
      <c r="O58" s="163">
        <v>83985</v>
      </c>
      <c r="P58" s="163"/>
      <c r="Q58" s="163"/>
      <c r="R58" s="163"/>
      <c r="S58" s="164">
        <f>L58-SUM(M58:R58)</f>
        <v>209200</v>
      </c>
      <c r="T58" s="164">
        <f>SUM(M58:R58)</f>
        <v>115385</v>
      </c>
      <c r="U58" s="165">
        <f>L58-T58</f>
        <v>209200</v>
      </c>
      <c r="V58" s="163"/>
      <c r="W58" s="163"/>
      <c r="X58" s="163"/>
      <c r="Y58" s="163"/>
      <c r="Z58" s="163"/>
      <c r="AA58" s="163"/>
      <c r="AB58" s="164">
        <f>U58-SUM(V58:AA58)</f>
        <v>209200</v>
      </c>
      <c r="AC58" s="164">
        <f>SUM(V58:AA58)</f>
        <v>0</v>
      </c>
      <c r="AD58" s="163">
        <f>U58-AC58</f>
        <v>209200</v>
      </c>
      <c r="AE58" s="163"/>
      <c r="AF58" s="163"/>
      <c r="AG58" s="163">
        <v>209170</v>
      </c>
      <c r="AH58" s="163"/>
      <c r="AI58" s="163"/>
      <c r="AJ58" s="163"/>
      <c r="AK58" s="163"/>
      <c r="AL58" s="163"/>
      <c r="AM58" s="164">
        <f>AD58-SUM(AE58:AL58)</f>
        <v>30</v>
      </c>
      <c r="AN58" s="164">
        <f>SUM(AE58:AK58)</f>
        <v>209170</v>
      </c>
      <c r="AO58" s="163">
        <f>K58+T58+AC58+AN58</f>
        <v>324555</v>
      </c>
      <c r="AQ58" s="167"/>
      <c r="AR58" s="168"/>
      <c r="AS58" s="168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:256" s="38" customFormat="1" ht="19.5" customHeight="1">
      <c r="A59" s="35" t="s">
        <v>20</v>
      </c>
      <c r="B59" s="34"/>
      <c r="C59" s="36">
        <f aca="true" t="shared" si="29" ref="C59:AP59">SUM(C57:C58)</f>
        <v>6197100</v>
      </c>
      <c r="D59" s="36">
        <f t="shared" si="29"/>
        <v>0</v>
      </c>
      <c r="E59" s="36">
        <f t="shared" si="29"/>
        <v>0</v>
      </c>
      <c r="F59" s="36">
        <f t="shared" si="29"/>
        <v>0</v>
      </c>
      <c r="G59" s="36">
        <f t="shared" si="29"/>
        <v>0</v>
      </c>
      <c r="H59" s="36">
        <f t="shared" si="29"/>
        <v>325000</v>
      </c>
      <c r="I59" s="36">
        <f t="shared" si="29"/>
        <v>4990000</v>
      </c>
      <c r="J59" s="37">
        <f t="shared" si="29"/>
        <v>882100</v>
      </c>
      <c r="K59" s="37">
        <f t="shared" si="29"/>
        <v>5315000</v>
      </c>
      <c r="L59" s="36">
        <f t="shared" si="29"/>
        <v>882100</v>
      </c>
      <c r="M59" s="36">
        <f t="shared" si="29"/>
        <v>0</v>
      </c>
      <c r="N59" s="36">
        <f t="shared" si="29"/>
        <v>31400</v>
      </c>
      <c r="O59" s="36">
        <f t="shared" si="29"/>
        <v>83985</v>
      </c>
      <c r="P59" s="36">
        <f t="shared" si="29"/>
        <v>0</v>
      </c>
      <c r="Q59" s="36">
        <f t="shared" si="29"/>
        <v>80000</v>
      </c>
      <c r="R59" s="36">
        <f t="shared" si="29"/>
        <v>225000</v>
      </c>
      <c r="S59" s="37">
        <f t="shared" si="29"/>
        <v>461715</v>
      </c>
      <c r="T59" s="37">
        <f t="shared" si="29"/>
        <v>420385</v>
      </c>
      <c r="U59" s="36">
        <f t="shared" si="29"/>
        <v>461715</v>
      </c>
      <c r="V59" s="36">
        <f t="shared" si="29"/>
        <v>0</v>
      </c>
      <c r="W59" s="36">
        <f t="shared" si="29"/>
        <v>0</v>
      </c>
      <c r="X59" s="36">
        <f t="shared" si="29"/>
        <v>50600</v>
      </c>
      <c r="Y59" s="36">
        <f t="shared" si="29"/>
        <v>0</v>
      </c>
      <c r="Z59" s="36">
        <f t="shared" si="29"/>
        <v>0</v>
      </c>
      <c r="AA59" s="36">
        <f t="shared" si="29"/>
        <v>0</v>
      </c>
      <c r="AB59" s="37">
        <f t="shared" si="29"/>
        <v>411115</v>
      </c>
      <c r="AC59" s="37">
        <f t="shared" si="29"/>
        <v>50600</v>
      </c>
      <c r="AD59" s="36">
        <f t="shared" si="29"/>
        <v>411115</v>
      </c>
      <c r="AE59" s="36">
        <f t="shared" si="29"/>
        <v>0</v>
      </c>
      <c r="AF59" s="36">
        <f t="shared" si="29"/>
        <v>0</v>
      </c>
      <c r="AG59" s="36">
        <f t="shared" si="29"/>
        <v>209170</v>
      </c>
      <c r="AH59" s="36">
        <f t="shared" si="29"/>
        <v>0</v>
      </c>
      <c r="AI59" s="36">
        <f t="shared" si="29"/>
        <v>201904.65</v>
      </c>
      <c r="AJ59" s="36">
        <f t="shared" si="29"/>
        <v>0</v>
      </c>
      <c r="AK59" s="36">
        <f t="shared" si="29"/>
        <v>0</v>
      </c>
      <c r="AL59" s="36">
        <f t="shared" si="29"/>
        <v>0</v>
      </c>
      <c r="AM59" s="37">
        <f t="shared" si="29"/>
        <v>40.35000000000582</v>
      </c>
      <c r="AN59" s="37">
        <f t="shared" si="29"/>
        <v>411074.65</v>
      </c>
      <c r="AO59" s="36">
        <f t="shared" si="29"/>
        <v>6197059.65</v>
      </c>
      <c r="AP59" s="36">
        <f t="shared" si="29"/>
        <v>99.99982375523946</v>
      </c>
      <c r="AQ59" s="121"/>
      <c r="AR59" s="123"/>
      <c r="AS59" s="123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  <c r="IU59" s="121"/>
      <c r="IV59" s="121"/>
    </row>
    <row r="60" spans="1:256" s="271" customFormat="1" ht="23.25" customHeight="1">
      <c r="A60" s="315" t="s">
        <v>78</v>
      </c>
      <c r="B60" s="315"/>
      <c r="C60" s="267"/>
      <c r="D60" s="267"/>
      <c r="E60" s="267"/>
      <c r="F60" s="267"/>
      <c r="G60" s="267"/>
      <c r="H60" s="267"/>
      <c r="I60" s="267"/>
      <c r="J60" s="268"/>
      <c r="K60" s="268"/>
      <c r="L60" s="267"/>
      <c r="M60" s="267"/>
      <c r="N60" s="267"/>
      <c r="O60" s="267"/>
      <c r="P60" s="267"/>
      <c r="Q60" s="267"/>
      <c r="R60" s="267"/>
      <c r="S60" s="268"/>
      <c r="T60" s="268"/>
      <c r="U60" s="267"/>
      <c r="V60" s="267"/>
      <c r="W60" s="267"/>
      <c r="X60" s="267"/>
      <c r="Y60" s="267"/>
      <c r="Z60" s="267"/>
      <c r="AA60" s="267"/>
      <c r="AB60" s="268"/>
      <c r="AC60" s="268"/>
      <c r="AD60" s="267"/>
      <c r="AE60" s="267"/>
      <c r="AF60" s="267"/>
      <c r="AG60" s="267"/>
      <c r="AH60" s="267"/>
      <c r="AI60" s="267"/>
      <c r="AJ60" s="267"/>
      <c r="AK60" s="267"/>
      <c r="AL60" s="267"/>
      <c r="AM60" s="268"/>
      <c r="AN60" s="268"/>
      <c r="AO60" s="267"/>
      <c r="AP60" s="267"/>
      <c r="AQ60" s="269"/>
      <c r="AR60" s="270"/>
      <c r="AS60" s="270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269"/>
      <c r="FJ60" s="269"/>
      <c r="FK60" s="269"/>
      <c r="FL60" s="269"/>
      <c r="FM60" s="269"/>
      <c r="FN60" s="269"/>
      <c r="FO60" s="269"/>
      <c r="FP60" s="269"/>
      <c r="FQ60" s="269"/>
      <c r="FR60" s="269"/>
      <c r="FS60" s="269"/>
      <c r="FT60" s="269"/>
      <c r="FU60" s="269"/>
      <c r="FV60" s="269"/>
      <c r="FW60" s="269"/>
      <c r="FX60" s="269"/>
      <c r="FY60" s="269"/>
      <c r="FZ60" s="269"/>
      <c r="GA60" s="269"/>
      <c r="GB60" s="269"/>
      <c r="GC60" s="269"/>
      <c r="GD60" s="269"/>
      <c r="GE60" s="269"/>
      <c r="GF60" s="269"/>
      <c r="GG60" s="269"/>
      <c r="GH60" s="269"/>
      <c r="GI60" s="269"/>
      <c r="GJ60" s="269"/>
      <c r="GK60" s="269"/>
      <c r="GL60" s="269"/>
      <c r="GM60" s="269"/>
      <c r="GN60" s="269"/>
      <c r="GO60" s="269"/>
      <c r="GP60" s="269"/>
      <c r="GQ60" s="269"/>
      <c r="GR60" s="269"/>
      <c r="GS60" s="269"/>
      <c r="GT60" s="269"/>
      <c r="GU60" s="269"/>
      <c r="GV60" s="269"/>
      <c r="GW60" s="269"/>
      <c r="GX60" s="269"/>
      <c r="GY60" s="269"/>
      <c r="GZ60" s="269"/>
      <c r="HA60" s="269"/>
      <c r="HB60" s="269"/>
      <c r="HC60" s="269"/>
      <c r="HD60" s="269"/>
      <c r="HE60" s="269"/>
      <c r="HF60" s="269"/>
      <c r="HG60" s="269"/>
      <c r="HH60" s="269"/>
      <c r="HI60" s="269"/>
      <c r="HJ60" s="269"/>
      <c r="HK60" s="269"/>
      <c r="HL60" s="269"/>
      <c r="HM60" s="269"/>
      <c r="HN60" s="269"/>
      <c r="HO60" s="269"/>
      <c r="HP60" s="269"/>
      <c r="HQ60" s="269"/>
      <c r="HR60" s="269"/>
      <c r="HS60" s="269"/>
      <c r="HT60" s="269"/>
      <c r="HU60" s="269"/>
      <c r="HV60" s="269"/>
      <c r="HW60" s="269"/>
      <c r="HX60" s="269"/>
      <c r="HY60" s="269"/>
      <c r="HZ60" s="269"/>
      <c r="IA60" s="269"/>
      <c r="IB60" s="269"/>
      <c r="IC60" s="269"/>
      <c r="ID60" s="269"/>
      <c r="IE60" s="269"/>
      <c r="IF60" s="269"/>
      <c r="IG60" s="269"/>
      <c r="IH60" s="269"/>
      <c r="II60" s="269"/>
      <c r="IJ60" s="269"/>
      <c r="IK60" s="269"/>
      <c r="IL60" s="269"/>
      <c r="IM60" s="269"/>
      <c r="IN60" s="269"/>
      <c r="IO60" s="269"/>
      <c r="IP60" s="269"/>
      <c r="IQ60" s="269"/>
      <c r="IR60" s="269"/>
      <c r="IS60" s="269"/>
      <c r="IT60" s="269"/>
      <c r="IU60" s="269"/>
      <c r="IV60" s="269"/>
    </row>
    <row r="61" spans="1:256" s="175" customFormat="1" ht="17.25" customHeight="1">
      <c r="A61" s="170" t="s">
        <v>22</v>
      </c>
      <c r="B61" s="171">
        <v>212</v>
      </c>
      <c r="C61" s="172">
        <f>1036800-4435.15-4800</f>
        <v>1027564.85</v>
      </c>
      <c r="D61" s="172"/>
      <c r="E61" s="172">
        <v>84000</v>
      </c>
      <c r="F61" s="172"/>
      <c r="G61" s="172">
        <v>84000</v>
      </c>
      <c r="H61" s="172"/>
      <c r="I61" s="172">
        <v>81600</v>
      </c>
      <c r="J61" s="173">
        <f>C61-SUM(D61:I61)</f>
        <v>777964.85</v>
      </c>
      <c r="K61" s="173">
        <f>SUM(D61:I61)</f>
        <v>249600</v>
      </c>
      <c r="L61" s="172">
        <f>C61-K61</f>
        <v>777964.85</v>
      </c>
      <c r="M61" s="172"/>
      <c r="N61" s="172">
        <v>91200</v>
      </c>
      <c r="O61" s="172"/>
      <c r="P61" s="172">
        <v>91200</v>
      </c>
      <c r="Q61" s="172"/>
      <c r="R61" s="172">
        <v>85136.84</v>
      </c>
      <c r="S61" s="173">
        <f>L61-SUM(M61:R61)</f>
        <v>510428.01</v>
      </c>
      <c r="T61" s="173">
        <f>SUM(M61:R61)</f>
        <v>267536.83999999997</v>
      </c>
      <c r="U61" s="172">
        <f>L61-T61</f>
        <v>510428.01</v>
      </c>
      <c r="V61" s="172"/>
      <c r="W61" s="172">
        <v>85263.16</v>
      </c>
      <c r="X61" s="172"/>
      <c r="Y61" s="172">
        <v>83563.64</v>
      </c>
      <c r="Z61" s="172"/>
      <c r="AA61" s="172">
        <v>87490.91</v>
      </c>
      <c r="AB61" s="173">
        <f>U61-SUM(V61:AA61)</f>
        <v>254110.30000000002</v>
      </c>
      <c r="AC61" s="173">
        <f>SUM(V61:AA61)</f>
        <v>256317.71</v>
      </c>
      <c r="AD61" s="172">
        <f>U61-AC61</f>
        <v>254110.30000000002</v>
      </c>
      <c r="AE61" s="174"/>
      <c r="AF61" s="174">
        <v>79567.7</v>
      </c>
      <c r="AG61" s="174"/>
      <c r="AH61" s="174">
        <v>78156.52</v>
      </c>
      <c r="AI61" s="174">
        <v>96386.08</v>
      </c>
      <c r="AJ61" s="174"/>
      <c r="AK61" s="174"/>
      <c r="AL61" s="174"/>
      <c r="AM61" s="173">
        <f>AD61-SUM(AE61:AL61)</f>
        <v>0</v>
      </c>
      <c r="AN61" s="173">
        <f>SUM(AE61:AK61)</f>
        <v>254110.3</v>
      </c>
      <c r="AO61" s="172">
        <f>K61+T61+AC61+AN61</f>
        <v>1027564.8499999999</v>
      </c>
      <c r="AP61" s="172">
        <f>(K61+T61+AC61+AN61)/C61*100</f>
        <v>99.99999999999999</v>
      </c>
      <c r="AQ61" s="167"/>
      <c r="AR61" s="168"/>
      <c r="AS61" s="168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:256" s="274" customFormat="1" ht="23.25" customHeight="1">
      <c r="A62" s="307" t="s">
        <v>91</v>
      </c>
      <c r="B62" s="307"/>
      <c r="C62" s="272"/>
      <c r="D62" s="272"/>
      <c r="E62" s="272"/>
      <c r="F62" s="272"/>
      <c r="G62" s="272"/>
      <c r="H62" s="272"/>
      <c r="I62" s="272"/>
      <c r="J62" s="273"/>
      <c r="K62" s="273"/>
      <c r="L62" s="272"/>
      <c r="M62" s="272"/>
      <c r="N62" s="272"/>
      <c r="O62" s="272"/>
      <c r="P62" s="272"/>
      <c r="Q62" s="272"/>
      <c r="R62" s="272"/>
      <c r="S62" s="273"/>
      <c r="T62" s="273"/>
      <c r="U62" s="272"/>
      <c r="V62" s="272"/>
      <c r="W62" s="272"/>
      <c r="X62" s="272"/>
      <c r="Y62" s="272"/>
      <c r="Z62" s="272"/>
      <c r="AA62" s="272"/>
      <c r="AB62" s="273"/>
      <c r="AC62" s="273"/>
      <c r="AD62" s="272"/>
      <c r="AE62" s="272"/>
      <c r="AF62" s="272"/>
      <c r="AG62" s="272"/>
      <c r="AH62" s="272"/>
      <c r="AI62" s="272"/>
      <c r="AJ62" s="272"/>
      <c r="AK62" s="272"/>
      <c r="AL62" s="272"/>
      <c r="AM62" s="273"/>
      <c r="AN62" s="273"/>
      <c r="AO62" s="272"/>
      <c r="AP62" s="272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69"/>
      <c r="DE62" s="269"/>
      <c r="DF62" s="269"/>
      <c r="DG62" s="269"/>
      <c r="DH62" s="269"/>
      <c r="DI62" s="269"/>
      <c r="DJ62" s="269"/>
      <c r="DK62" s="269"/>
      <c r="DL62" s="269"/>
      <c r="DM62" s="269"/>
      <c r="DN62" s="269"/>
      <c r="DO62" s="269"/>
      <c r="DP62" s="269"/>
      <c r="DQ62" s="269"/>
      <c r="DR62" s="269"/>
      <c r="DS62" s="269"/>
      <c r="DT62" s="269"/>
      <c r="DU62" s="269"/>
      <c r="DV62" s="269"/>
      <c r="DW62" s="269"/>
      <c r="DX62" s="269"/>
      <c r="DY62" s="269"/>
      <c r="DZ62" s="269"/>
      <c r="EA62" s="269"/>
      <c r="EB62" s="269"/>
      <c r="EC62" s="269"/>
      <c r="ED62" s="269"/>
      <c r="EE62" s="269"/>
      <c r="EF62" s="269"/>
      <c r="EG62" s="269"/>
      <c r="EH62" s="269"/>
      <c r="EI62" s="269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69"/>
      <c r="FC62" s="269"/>
      <c r="FD62" s="269"/>
      <c r="FE62" s="269"/>
      <c r="FF62" s="269"/>
      <c r="FG62" s="269"/>
      <c r="FH62" s="269"/>
      <c r="FI62" s="269"/>
      <c r="FJ62" s="269"/>
      <c r="FK62" s="269"/>
      <c r="FL62" s="269"/>
      <c r="FM62" s="269"/>
      <c r="FN62" s="269"/>
      <c r="FO62" s="269"/>
      <c r="FP62" s="269"/>
      <c r="FQ62" s="269"/>
      <c r="FR62" s="269"/>
      <c r="FS62" s="269"/>
      <c r="FT62" s="269"/>
      <c r="FU62" s="269"/>
      <c r="FV62" s="269"/>
      <c r="FW62" s="269"/>
      <c r="FX62" s="269"/>
      <c r="FY62" s="269"/>
      <c r="FZ62" s="269"/>
      <c r="GA62" s="269"/>
      <c r="GB62" s="269"/>
      <c r="GC62" s="269"/>
      <c r="GD62" s="269"/>
      <c r="GE62" s="269"/>
      <c r="GF62" s="269"/>
      <c r="GG62" s="269"/>
      <c r="GH62" s="269"/>
      <c r="GI62" s="269"/>
      <c r="GJ62" s="269"/>
      <c r="GK62" s="269"/>
      <c r="GL62" s="269"/>
      <c r="GM62" s="269"/>
      <c r="GN62" s="269"/>
      <c r="GO62" s="269"/>
      <c r="GP62" s="269"/>
      <c r="GQ62" s="269"/>
      <c r="GR62" s="269"/>
      <c r="GS62" s="269"/>
      <c r="GT62" s="269"/>
      <c r="GU62" s="269"/>
      <c r="GV62" s="269"/>
      <c r="GW62" s="269"/>
      <c r="GX62" s="269"/>
      <c r="GY62" s="269"/>
      <c r="GZ62" s="269"/>
      <c r="HA62" s="269"/>
      <c r="HB62" s="269"/>
      <c r="HC62" s="269"/>
      <c r="HD62" s="269"/>
      <c r="HE62" s="269"/>
      <c r="HF62" s="269"/>
      <c r="HG62" s="269"/>
      <c r="HH62" s="269"/>
      <c r="HI62" s="269"/>
      <c r="HJ62" s="269"/>
      <c r="HK62" s="269"/>
      <c r="HL62" s="269"/>
      <c r="HM62" s="269"/>
      <c r="HN62" s="269"/>
      <c r="HO62" s="269"/>
      <c r="HP62" s="269"/>
      <c r="HQ62" s="269"/>
      <c r="HR62" s="269"/>
      <c r="HS62" s="269"/>
      <c r="HT62" s="269"/>
      <c r="HU62" s="269"/>
      <c r="HV62" s="269"/>
      <c r="HW62" s="269"/>
      <c r="HX62" s="269"/>
      <c r="HY62" s="269"/>
      <c r="HZ62" s="269"/>
      <c r="IA62" s="269"/>
      <c r="IB62" s="269"/>
      <c r="IC62" s="269"/>
      <c r="ID62" s="269"/>
      <c r="IE62" s="269"/>
      <c r="IF62" s="269"/>
      <c r="IG62" s="269"/>
      <c r="IH62" s="269"/>
      <c r="II62" s="269"/>
      <c r="IJ62" s="269"/>
      <c r="IK62" s="269"/>
      <c r="IL62" s="269"/>
      <c r="IM62" s="269"/>
      <c r="IN62" s="269"/>
      <c r="IO62" s="269"/>
      <c r="IP62" s="269"/>
      <c r="IQ62" s="269"/>
      <c r="IR62" s="269"/>
      <c r="IS62" s="269"/>
      <c r="IT62" s="269"/>
      <c r="IU62" s="269"/>
      <c r="IV62" s="269"/>
    </row>
    <row r="63" spans="1:256" s="182" customFormat="1" ht="31.5">
      <c r="A63" s="266" t="s">
        <v>74</v>
      </c>
      <c r="B63" s="178">
        <v>212</v>
      </c>
      <c r="C63" s="176">
        <f>16080+76200</f>
        <v>92280</v>
      </c>
      <c r="D63" s="176"/>
      <c r="E63" s="176"/>
      <c r="F63" s="176"/>
      <c r="G63" s="176"/>
      <c r="H63" s="176"/>
      <c r="I63" s="176"/>
      <c r="J63" s="177">
        <f>C63-SUM(D63:I63)</f>
        <v>92280</v>
      </c>
      <c r="K63" s="177">
        <f>SUM(D63:I63)</f>
        <v>0</v>
      </c>
      <c r="L63" s="176">
        <f>C63-K63</f>
        <v>92280</v>
      </c>
      <c r="M63" s="176"/>
      <c r="N63" s="176"/>
      <c r="O63" s="176">
        <v>16076</v>
      </c>
      <c r="P63" s="176"/>
      <c r="Q63" s="176"/>
      <c r="R63" s="176"/>
      <c r="S63" s="177">
        <f>L63-SUM(M63:R63)</f>
        <v>76204</v>
      </c>
      <c r="T63" s="177">
        <f>SUM(M63:R63)</f>
        <v>16076</v>
      </c>
      <c r="U63" s="176">
        <f>L63-T63</f>
        <v>76204</v>
      </c>
      <c r="V63" s="176"/>
      <c r="W63" s="176"/>
      <c r="X63" s="176"/>
      <c r="Y63" s="176"/>
      <c r="Z63" s="176"/>
      <c r="AA63" s="176"/>
      <c r="AB63" s="177">
        <f>U63-SUM(V63:AA63)</f>
        <v>76204</v>
      </c>
      <c r="AC63" s="177">
        <f>SUM(V63:AA63)</f>
        <v>0</v>
      </c>
      <c r="AD63" s="176">
        <f>U63-AC63</f>
        <v>76204</v>
      </c>
      <c r="AE63" s="265"/>
      <c r="AF63" s="265"/>
      <c r="AG63" s="265"/>
      <c r="AH63" s="265"/>
      <c r="AI63" s="265"/>
      <c r="AJ63" s="265">
        <f>21309+18526+19448+16882</f>
        <v>76165</v>
      </c>
      <c r="AK63" s="265"/>
      <c r="AL63" s="265"/>
      <c r="AM63" s="177">
        <f>AD63-SUM(AE63:AL63)</f>
        <v>39</v>
      </c>
      <c r="AN63" s="177">
        <f>SUM(AG63:AL63)</f>
        <v>76165</v>
      </c>
      <c r="AO63" s="176">
        <f>K63+T63+AC63+AN63</f>
        <v>92241</v>
      </c>
      <c r="AP63" s="176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:256" s="182" customFormat="1" ht="31.5">
      <c r="A64" s="266" t="s">
        <v>92</v>
      </c>
      <c r="B64" s="178">
        <v>214</v>
      </c>
      <c r="C64" s="176">
        <f>51860+491000</f>
        <v>542860</v>
      </c>
      <c r="D64" s="176"/>
      <c r="E64" s="176"/>
      <c r="F64" s="176"/>
      <c r="G64" s="176"/>
      <c r="H64" s="176"/>
      <c r="I64" s="176"/>
      <c r="J64" s="177">
        <f>C64-SUM(D64:I64)</f>
        <v>542860</v>
      </c>
      <c r="K64" s="177">
        <f>SUM(D64:I64)</f>
        <v>0</v>
      </c>
      <c r="L64" s="176">
        <f>C64-K64</f>
        <v>542860</v>
      </c>
      <c r="M64" s="176"/>
      <c r="N64" s="176"/>
      <c r="O64" s="176">
        <v>51850.51</v>
      </c>
      <c r="P64" s="176"/>
      <c r="Q64" s="176"/>
      <c r="R64" s="176"/>
      <c r="S64" s="177">
        <f>L64-SUM(M64:R64)</f>
        <v>491009.49</v>
      </c>
      <c r="T64" s="177">
        <f>SUM(M64:R64)</f>
        <v>51850.51</v>
      </c>
      <c r="U64" s="176">
        <f>L64-T64</f>
        <v>491009.49</v>
      </c>
      <c r="V64" s="176"/>
      <c r="W64" s="176"/>
      <c r="X64" s="176"/>
      <c r="Y64" s="176"/>
      <c r="Z64" s="176"/>
      <c r="AA64" s="176"/>
      <c r="AB64" s="177">
        <f>U64-SUM(V64:AA64)</f>
        <v>491009.49</v>
      </c>
      <c r="AC64" s="177">
        <f>SUM(V64:AA64)</f>
        <v>0</v>
      </c>
      <c r="AD64" s="176">
        <f>U64-AC64</f>
        <v>491009.49</v>
      </c>
      <c r="AE64" s="265"/>
      <c r="AF64" s="265"/>
      <c r="AG64" s="265"/>
      <c r="AH64" s="265"/>
      <c r="AI64" s="265"/>
      <c r="AJ64" s="265">
        <f>62942.87+13430.47+84414.01+248675+9571.2+52434+19536</f>
        <v>491003.55</v>
      </c>
      <c r="AK64" s="265"/>
      <c r="AL64" s="265"/>
      <c r="AM64" s="177">
        <f>AD64-SUM(AE64:AL64)</f>
        <v>5.940000000002328</v>
      </c>
      <c r="AN64" s="177">
        <f>SUM(AG64:AL64)</f>
        <v>491003.55</v>
      </c>
      <c r="AO64" s="176">
        <f>K64+T64+AC64+AN64</f>
        <v>542854.0599999999</v>
      </c>
      <c r="AP64" s="176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1:256" s="182" customFormat="1" ht="43.5" customHeight="1">
      <c r="A65" s="266" t="s">
        <v>54</v>
      </c>
      <c r="B65" s="178">
        <v>265</v>
      </c>
      <c r="C65" s="179">
        <f>13620+17600+292000</f>
        <v>323220</v>
      </c>
      <c r="D65" s="179"/>
      <c r="E65" s="179"/>
      <c r="F65" s="179"/>
      <c r="G65" s="179"/>
      <c r="H65" s="179"/>
      <c r="I65" s="179"/>
      <c r="J65" s="180">
        <f>C65-SUM(D65:I65)</f>
        <v>323220</v>
      </c>
      <c r="K65" s="180">
        <f>SUM(D65:I65)</f>
        <v>0</v>
      </c>
      <c r="L65" s="179">
        <f>C65-K65</f>
        <v>323220</v>
      </c>
      <c r="M65" s="179"/>
      <c r="N65" s="179"/>
      <c r="O65" s="179"/>
      <c r="P65" s="179"/>
      <c r="Q65" s="179"/>
      <c r="R65" s="179"/>
      <c r="S65" s="180">
        <f>L65-SUM(M65:R65)</f>
        <v>323220</v>
      </c>
      <c r="T65" s="180">
        <f>SUM(M65:R65)</f>
        <v>0</v>
      </c>
      <c r="U65" s="179">
        <f>L65-T65</f>
        <v>323220</v>
      </c>
      <c r="V65" s="179"/>
      <c r="W65" s="179">
        <v>13620</v>
      </c>
      <c r="X65" s="179"/>
      <c r="Y65" s="179"/>
      <c r="Z65" s="179"/>
      <c r="AA65" s="179"/>
      <c r="AB65" s="180">
        <f>U65-SUM(V65:AA65)</f>
        <v>309600</v>
      </c>
      <c r="AC65" s="180">
        <f>SUM(V65:AA65)</f>
        <v>13620</v>
      </c>
      <c r="AD65" s="179">
        <f>U65-AC65</f>
        <v>309600</v>
      </c>
      <c r="AE65" s="181">
        <v>17592</v>
      </c>
      <c r="AF65" s="181"/>
      <c r="AG65" s="181"/>
      <c r="AH65" s="181"/>
      <c r="AI65" s="181"/>
      <c r="AJ65" s="181">
        <f>78595+59558.03+153785</f>
        <v>291938.03</v>
      </c>
      <c r="AK65" s="181"/>
      <c r="AL65" s="181"/>
      <c r="AM65" s="180">
        <f>AD65-SUM(AE65:AL65)</f>
        <v>69.96999999997206</v>
      </c>
      <c r="AN65" s="180">
        <f>SUM(AG65:AL65)</f>
        <v>291938.03</v>
      </c>
      <c r="AO65" s="179">
        <f>K65+T65+AC65+AN65</f>
        <v>305558.03</v>
      </c>
      <c r="AP65" s="179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  <row r="66" spans="1:256" s="39" customFormat="1" ht="21" customHeight="1">
      <c r="A66" s="157" t="s">
        <v>23</v>
      </c>
      <c r="B66" s="157"/>
      <c r="C66" s="157">
        <f>C54+C59+C61+C65+C63+C64</f>
        <v>135295224.85</v>
      </c>
      <c r="D66" s="157">
        <f aca="true" t="shared" si="30" ref="D66:AO66">D54+D59+D61+D65</f>
        <v>0</v>
      </c>
      <c r="E66" s="157">
        <f t="shared" si="30"/>
        <v>1642626.5399999998</v>
      </c>
      <c r="F66" s="157">
        <f t="shared" si="30"/>
        <v>6917546.75</v>
      </c>
      <c r="G66" s="157">
        <f t="shared" si="30"/>
        <v>643286.81</v>
      </c>
      <c r="H66" s="157">
        <f>H54+H59+H61+H65</f>
        <v>9602187.309999999</v>
      </c>
      <c r="I66" s="157">
        <f t="shared" si="30"/>
        <v>5728286.73</v>
      </c>
      <c r="J66" s="157">
        <f t="shared" si="30"/>
        <v>110171450.71000001</v>
      </c>
      <c r="K66" s="157">
        <f t="shared" si="30"/>
        <v>24563934.14</v>
      </c>
      <c r="L66" s="157">
        <f>L54+L59+L61+L65</f>
        <v>110171450.71000001</v>
      </c>
      <c r="M66" s="157">
        <f t="shared" si="30"/>
        <v>12751353.98</v>
      </c>
      <c r="N66" s="157">
        <f t="shared" si="30"/>
        <v>6645087.11</v>
      </c>
      <c r="O66" s="157">
        <f>O54+O59+O61+O65+O63+O64</f>
        <v>8047286.16</v>
      </c>
      <c r="P66" s="157">
        <f t="shared" si="30"/>
        <v>5738764.3</v>
      </c>
      <c r="Q66" s="157">
        <f t="shared" si="30"/>
        <v>8961745.41</v>
      </c>
      <c r="R66" s="157">
        <f t="shared" si="30"/>
        <v>3839346.9599999995</v>
      </c>
      <c r="S66" s="157">
        <f t="shared" si="30"/>
        <v>64203793.30000001</v>
      </c>
      <c r="T66" s="157">
        <f t="shared" si="30"/>
        <v>45915657.41</v>
      </c>
      <c r="U66" s="158">
        <f t="shared" si="30"/>
        <v>64205774.01000001</v>
      </c>
      <c r="V66" s="157">
        <f t="shared" si="30"/>
        <v>6450799.11</v>
      </c>
      <c r="W66" s="157">
        <f>W54+W59+W61+W65</f>
        <v>2715197.7800000003</v>
      </c>
      <c r="X66" s="157">
        <f t="shared" si="30"/>
        <v>3821321.13</v>
      </c>
      <c r="Y66" s="157">
        <f t="shared" si="30"/>
        <v>1158117.16</v>
      </c>
      <c r="Z66" s="157">
        <f t="shared" si="30"/>
        <v>8442949.6</v>
      </c>
      <c r="AA66" s="157">
        <f t="shared" si="30"/>
        <v>1614387.25</v>
      </c>
      <c r="AB66" s="157">
        <f>AB54+AB59+AB61+AB65</f>
        <v>40007670.580000006</v>
      </c>
      <c r="AC66" s="157">
        <f t="shared" si="30"/>
        <v>24202772.030000005</v>
      </c>
      <c r="AD66" s="157">
        <f t="shared" si="30"/>
        <v>40008884.14</v>
      </c>
      <c r="AE66" s="157">
        <f>AE54+AE59+AE61+AE65</f>
        <v>4740899.9399999995</v>
      </c>
      <c r="AF66" s="157">
        <f t="shared" si="30"/>
        <v>2042777.1</v>
      </c>
      <c r="AG66" s="157">
        <f t="shared" si="30"/>
        <v>8511148.01</v>
      </c>
      <c r="AH66" s="157">
        <f t="shared" si="30"/>
        <v>3671301.4899999998</v>
      </c>
      <c r="AI66" s="157">
        <f t="shared" si="30"/>
        <v>7229282.18</v>
      </c>
      <c r="AJ66" s="157">
        <f>AJ54+AJ59+AJ61+AJ65+AJ63+AJ64</f>
        <v>2623306.9</v>
      </c>
      <c r="AK66" s="157">
        <f t="shared" si="30"/>
        <v>11491385.290000001</v>
      </c>
      <c r="AL66" s="157">
        <f t="shared" si="30"/>
        <v>290254.37</v>
      </c>
      <c r="AM66" s="157">
        <f t="shared" si="30"/>
        <v>-25465.4599999999</v>
      </c>
      <c r="AN66" s="157">
        <f t="shared" si="30"/>
        <v>39961094.73</v>
      </c>
      <c r="AO66" s="157">
        <f t="shared" si="30"/>
        <v>134613458.31</v>
      </c>
      <c r="AP66" s="157">
        <f>(K66+T66+AC66+AN66)/C66*100</f>
        <v>99.51826345628784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  <c r="IT66" s="122"/>
      <c r="IU66" s="122"/>
      <c r="IV66" s="122"/>
    </row>
    <row r="67" spans="1:256" s="1" customFormat="1" ht="15">
      <c r="A67" s="47"/>
      <c r="B67" s="48"/>
      <c r="C67" s="49"/>
      <c r="J67" s="3"/>
      <c r="K67" s="3"/>
      <c r="S67" s="3"/>
      <c r="T67" s="3"/>
      <c r="U67" s="110"/>
      <c r="V67" s="306">
        <f>V66+'МЦП и пр.'!V6</f>
        <v>6603499.11</v>
      </c>
      <c r="X67" s="303">
        <f>X66+'МЦП и пр.'!X6+'МЦП и пр.'!X8</f>
        <v>4621321.13</v>
      </c>
      <c r="Y67" s="303">
        <f>Y66+'МЦП и пр.'!Y6</f>
        <v>1290917.16</v>
      </c>
      <c r="AB67" s="3"/>
      <c r="AC67" s="40"/>
      <c r="AE67" s="50"/>
      <c r="AF67" s="42">
        <f>AF66+'МЦП и пр.'!AF10+'МЦП и пр.'!AF11</f>
        <v>25418727.75</v>
      </c>
      <c r="AG67" s="42"/>
      <c r="AH67" s="41"/>
      <c r="AJ67" s="43"/>
      <c r="AK67" s="43"/>
      <c r="AL67" s="43"/>
      <c r="AM67" s="3"/>
      <c r="AN67" s="3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spans="1:256" s="1" customFormat="1" ht="15">
      <c r="A68" s="47"/>
      <c r="B68" s="48"/>
      <c r="C68" s="49"/>
      <c r="J68" s="3"/>
      <c r="K68" s="3"/>
      <c r="S68" s="3"/>
      <c r="T68" s="3"/>
      <c r="U68" s="110"/>
      <c r="V68" s="45"/>
      <c r="AB68" s="3"/>
      <c r="AC68" s="40"/>
      <c r="AE68" s="50"/>
      <c r="AF68" s="42"/>
      <c r="AG68" s="42"/>
      <c r="AH68" s="41"/>
      <c r="AJ68" s="43"/>
      <c r="AK68" s="43"/>
      <c r="AL68" s="43"/>
      <c r="AM68" s="3"/>
      <c r="AN68" s="3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</row>
    <row r="69" spans="1:256" s="1" customFormat="1" ht="18.75">
      <c r="A69" s="300" t="s">
        <v>95</v>
      </c>
      <c r="B69" s="48"/>
      <c r="C69" s="49"/>
      <c r="J69" s="3"/>
      <c r="K69" s="3"/>
      <c r="S69" s="3"/>
      <c r="T69" s="3"/>
      <c r="U69" s="110"/>
      <c r="V69" s="45"/>
      <c r="AB69" s="3"/>
      <c r="AC69" s="40"/>
      <c r="AE69" s="50"/>
      <c r="AF69" s="42"/>
      <c r="AG69" s="42"/>
      <c r="AH69" s="41"/>
      <c r="AJ69" s="43"/>
      <c r="AK69" s="43"/>
      <c r="AL69" s="43"/>
      <c r="AM69" s="3"/>
      <c r="AN69" s="3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</row>
    <row r="70" spans="1:256" s="1" customFormat="1" ht="15.75">
      <c r="A70" s="284" t="s">
        <v>79</v>
      </c>
      <c r="B70" s="48"/>
      <c r="C70" s="283" t="e">
        <f>C13+C35+'МЦП и пр.'!C6+'МЦП и пр.'!C8+'МЦП и пр.'!#REF!+'МЦП и пр.'!C10+'МЦП и пр.'!C11</f>
        <v>#REF!</v>
      </c>
      <c r="D70" s="297">
        <f aca="true" t="shared" si="31" ref="D70:I70">SUM(D14:D30)+SUM(D36:D44)</f>
        <v>0</v>
      </c>
      <c r="E70" s="297">
        <f t="shared" si="31"/>
        <v>1380124.9699999997</v>
      </c>
      <c r="F70" s="297">
        <f t="shared" si="31"/>
        <v>27977.72</v>
      </c>
      <c r="G70" s="297">
        <f t="shared" si="31"/>
        <v>85326.61000000002</v>
      </c>
      <c r="H70" s="297">
        <f t="shared" si="31"/>
        <v>3458855.25</v>
      </c>
      <c r="I70" s="297">
        <f t="shared" si="31"/>
        <v>33124.82</v>
      </c>
      <c r="J70" s="299" t="e">
        <f>C70-SUM(D70:I70)</f>
        <v>#REF!</v>
      </c>
      <c r="K70" s="299">
        <f>SUM(D70:I70)</f>
        <v>4985409.37</v>
      </c>
      <c r="L70" s="299" t="e">
        <f>C70-K70</f>
        <v>#REF!</v>
      </c>
      <c r="M70" s="299">
        <f aca="true" t="shared" si="32" ref="M70:R70">SUM(M14:M30)+SUM(M36:M44)</f>
        <v>5384701.45</v>
      </c>
      <c r="N70" s="299">
        <f t="shared" si="32"/>
        <v>2892312.7800000003</v>
      </c>
      <c r="O70" s="299">
        <f t="shared" si="32"/>
        <v>35544</v>
      </c>
      <c r="P70" s="299">
        <f t="shared" si="32"/>
        <v>2112127.2099999995</v>
      </c>
      <c r="Q70" s="299">
        <f t="shared" si="32"/>
        <v>533703.4</v>
      </c>
      <c r="R70" s="299">
        <f t="shared" si="32"/>
        <v>1709359.7</v>
      </c>
      <c r="S70" s="299" t="e">
        <f>J70-SUM(M70:R70)</f>
        <v>#REF!</v>
      </c>
      <c r="T70" s="299">
        <f>SUM(M70:R70)</f>
        <v>12667748.54</v>
      </c>
      <c r="U70" s="299" t="e">
        <f>C70-K70-T70</f>
        <v>#REF!</v>
      </c>
      <c r="AB70" s="3"/>
      <c r="AC70" s="3"/>
      <c r="AE70" s="50"/>
      <c r="AF70" s="42"/>
      <c r="AG70" s="42"/>
      <c r="AJ70" s="43"/>
      <c r="AK70" s="43"/>
      <c r="AL70" s="43"/>
      <c r="AM70" s="3"/>
      <c r="AN70" s="3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:256" s="1" customFormat="1" ht="15">
      <c r="A71" s="285">
        <v>0.5</v>
      </c>
      <c r="C71" s="257" t="e">
        <f>C70/2</f>
        <v>#REF!</v>
      </c>
      <c r="D71" s="293">
        <f>D70/2</f>
        <v>0</v>
      </c>
      <c r="E71" s="294"/>
      <c r="F71" s="294"/>
      <c r="G71" s="294"/>
      <c r="H71" s="294"/>
      <c r="I71" s="294"/>
      <c r="J71" s="29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B71" s="3"/>
      <c r="AC71" s="3"/>
      <c r="AD71" s="41"/>
      <c r="AE71" s="50"/>
      <c r="AF71" s="42"/>
      <c r="AG71" s="42"/>
      <c r="AJ71" s="43"/>
      <c r="AK71" s="43"/>
      <c r="AL71" s="43"/>
      <c r="AM71" s="3"/>
      <c r="AN71" s="3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2" spans="1:256" s="1" customFormat="1" ht="15">
      <c r="A72" s="46" t="s">
        <v>80</v>
      </c>
      <c r="B72" s="48"/>
      <c r="C72" s="286" t="e">
        <f>C71</f>
        <v>#REF!</v>
      </c>
      <c r="D72" s="293">
        <f>D71</f>
        <v>0</v>
      </c>
      <c r="E72" s="294">
        <f>SUM(E14:E30)+SUM(E36:E44)-E37-E39</f>
        <v>15670.399999999907</v>
      </c>
      <c r="F72" s="294">
        <f>SUM(F14:F30)+SUM(F36:F44)-F37-F39</f>
        <v>27977.72</v>
      </c>
      <c r="G72" s="294">
        <f>SUM(G14:G30)+SUM(G36:G44)-G37-G39</f>
        <v>85326.61000000002</v>
      </c>
      <c r="H72" s="294">
        <f>SUM(H14:H30)+SUM(H36:H44)-H37-H39</f>
        <v>407453.2100000001</v>
      </c>
      <c r="I72" s="294">
        <f>SUM(I14:I30)+SUM(I36:I44)-I37-I39</f>
        <v>33124.82</v>
      </c>
      <c r="J72" s="299" t="e">
        <f>C72-SUM(D72:I72)</f>
        <v>#REF!</v>
      </c>
      <c r="K72" s="299">
        <f>SUM(D72:I72)</f>
        <v>569552.7599999999</v>
      </c>
      <c r="L72" s="299" t="e">
        <f aca="true" t="shared" si="33" ref="L72:L77">C72-K72</f>
        <v>#REF!</v>
      </c>
      <c r="M72" s="292">
        <f aca="true" t="shared" si="34" ref="M72:R72">SUM(M14:M30)+SUM(M36:M44)-M37-M39</f>
        <v>3343964.88</v>
      </c>
      <c r="N72" s="292">
        <f t="shared" si="34"/>
        <v>814830.3700000002</v>
      </c>
      <c r="O72" s="292">
        <f t="shared" si="34"/>
        <v>35544</v>
      </c>
      <c r="P72" s="292">
        <f t="shared" si="34"/>
        <v>118159.13999999958</v>
      </c>
      <c r="Q72" s="292">
        <f t="shared" si="34"/>
        <v>533703.4</v>
      </c>
      <c r="R72" s="292">
        <f t="shared" si="34"/>
        <v>141159.50999999992</v>
      </c>
      <c r="S72" s="299" t="e">
        <f>J72-SUM(M72:R72)</f>
        <v>#REF!</v>
      </c>
      <c r="T72" s="299">
        <f>SUM(M72:R72)</f>
        <v>4987361.3</v>
      </c>
      <c r="U72" s="299" t="e">
        <f>C72-K72-T72</f>
        <v>#REF!</v>
      </c>
      <c r="AB72" s="3"/>
      <c r="AC72" s="3"/>
      <c r="AE72" s="50"/>
      <c r="AF72" s="42"/>
      <c r="AG72" s="42"/>
      <c r="AJ72" s="43"/>
      <c r="AK72" s="43"/>
      <c r="AL72" s="43"/>
      <c r="AM72" s="3"/>
      <c r="AN72" s="3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</row>
    <row r="73" spans="1:256" s="1" customFormat="1" ht="15">
      <c r="A73" s="45" t="s">
        <v>82</v>
      </c>
      <c r="C73" s="287">
        <f>19965775.64+1456096.42</f>
        <v>21421872.060000002</v>
      </c>
      <c r="D73" s="293">
        <f aca="true" t="shared" si="35" ref="D73:I73">D37+D39</f>
        <v>0</v>
      </c>
      <c r="E73" s="294">
        <f t="shared" si="35"/>
        <v>1364454.5699999998</v>
      </c>
      <c r="F73" s="294">
        <f t="shared" si="35"/>
        <v>0</v>
      </c>
      <c r="G73" s="294">
        <f t="shared" si="35"/>
        <v>0</v>
      </c>
      <c r="H73" s="294">
        <f t="shared" si="35"/>
        <v>3051402.04</v>
      </c>
      <c r="I73" s="294">
        <f t="shared" si="35"/>
        <v>0</v>
      </c>
      <c r="J73" s="299">
        <f>C73-SUM(D73:I73)</f>
        <v>17006015.450000003</v>
      </c>
      <c r="K73" s="299">
        <f>SUM(D73:I73)</f>
        <v>4415856.609999999</v>
      </c>
      <c r="L73" s="299">
        <f t="shared" si="33"/>
        <v>17006015.450000003</v>
      </c>
      <c r="M73" s="292">
        <f aca="true" t="shared" si="36" ref="M73:R73">M37+M39</f>
        <v>2040736.57</v>
      </c>
      <c r="N73" s="292">
        <f t="shared" si="36"/>
        <v>2077482.41</v>
      </c>
      <c r="O73" s="292">
        <f t="shared" si="36"/>
        <v>0</v>
      </c>
      <c r="P73" s="292">
        <f t="shared" si="36"/>
        <v>1993968.0699999998</v>
      </c>
      <c r="Q73" s="292">
        <f t="shared" si="36"/>
        <v>0</v>
      </c>
      <c r="R73" s="292">
        <f t="shared" si="36"/>
        <v>1568200.19</v>
      </c>
      <c r="S73" s="299">
        <f>J73-SUM(M73:R73)</f>
        <v>9325628.210000003</v>
      </c>
      <c r="T73" s="299">
        <f>SUM(M73:R73)</f>
        <v>7680387.24</v>
      </c>
      <c r="U73" s="299">
        <f>C73-K73-T73</f>
        <v>9325628.210000003</v>
      </c>
      <c r="AB73" s="3"/>
      <c r="AC73" s="3"/>
      <c r="AE73" s="51"/>
      <c r="AF73" s="52"/>
      <c r="AG73" s="52"/>
      <c r="AH73" s="24"/>
      <c r="AI73" s="24"/>
      <c r="AJ73" s="43"/>
      <c r="AK73" s="43"/>
      <c r="AL73" s="43"/>
      <c r="AM73" s="3"/>
      <c r="AN73" s="3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</row>
    <row r="74" spans="1:38" ht="15">
      <c r="A74" s="258" t="s">
        <v>84</v>
      </c>
      <c r="C74" s="288" t="e">
        <f>C70-C72-C73</f>
        <v>#REF!</v>
      </c>
      <c r="D74" s="293">
        <f>D70-D72-D73</f>
        <v>0</v>
      </c>
      <c r="E74" s="294"/>
      <c r="F74" s="294"/>
      <c r="G74" s="294"/>
      <c r="H74" s="294"/>
      <c r="I74" s="294"/>
      <c r="J74" s="29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AE74" s="51"/>
      <c r="AF74" s="52"/>
      <c r="AG74" s="52"/>
      <c r="AJ74" s="54"/>
      <c r="AK74" s="55"/>
      <c r="AL74" s="55"/>
    </row>
    <row r="75" spans="1:38" ht="15">
      <c r="A75" s="45" t="s">
        <v>83</v>
      </c>
      <c r="C75" s="49" t="e">
        <f>C74-C76</f>
        <v>#REF!</v>
      </c>
      <c r="D75" s="293">
        <f>D74-D76</f>
        <v>0</v>
      </c>
      <c r="E75" s="294"/>
      <c r="F75" s="294"/>
      <c r="G75" s="294"/>
      <c r="H75" s="294"/>
      <c r="I75" s="294"/>
      <c r="J75" s="299"/>
      <c r="L75" s="53"/>
      <c r="M75" s="53"/>
      <c r="N75" s="53"/>
      <c r="O75" s="53"/>
      <c r="P75" s="53"/>
      <c r="Q75" s="53"/>
      <c r="R75" s="53"/>
      <c r="U75" s="53"/>
      <c r="AE75" s="56"/>
      <c r="AF75" s="52"/>
      <c r="AG75" s="52"/>
      <c r="AJ75" s="55"/>
      <c r="AK75" s="55"/>
      <c r="AL75" s="55"/>
    </row>
    <row r="76" spans="1:33" ht="15">
      <c r="A76" s="46" t="s">
        <v>81</v>
      </c>
      <c r="C76" s="49" t="e">
        <f>C74*15%</f>
        <v>#REF!</v>
      </c>
      <c r="D76" s="293">
        <f>D74*15%</f>
        <v>0</v>
      </c>
      <c r="E76" s="294"/>
      <c r="F76" s="294"/>
      <c r="G76" s="294"/>
      <c r="H76" s="294"/>
      <c r="I76" s="294"/>
      <c r="J76" s="299"/>
      <c r="L76" s="53"/>
      <c r="M76" s="53"/>
      <c r="N76" s="53"/>
      <c r="O76" s="53"/>
      <c r="P76" s="53"/>
      <c r="Q76" s="53"/>
      <c r="R76" s="53"/>
      <c r="U76" s="53"/>
      <c r="AE76" s="56"/>
      <c r="AF76" s="52"/>
      <c r="AG76" s="52"/>
    </row>
    <row r="77" spans="1:256" s="57" customFormat="1" ht="15">
      <c r="A77" s="289" t="s">
        <v>85</v>
      </c>
      <c r="B77" s="24"/>
      <c r="C77" s="23" t="e">
        <f>C72+C73+C75+C76</f>
        <v>#REF!</v>
      </c>
      <c r="D77" s="291">
        <f>D72+D73+D75+D76</f>
        <v>0</v>
      </c>
      <c r="E77" s="298">
        <f>E70</f>
        <v>1380124.9699999997</v>
      </c>
      <c r="F77" s="298">
        <f>F70</f>
        <v>27977.72</v>
      </c>
      <c r="G77" s="298">
        <f>G70</f>
        <v>85326.61000000002</v>
      </c>
      <c r="H77" s="298">
        <f>H70</f>
        <v>3458855.25</v>
      </c>
      <c r="I77" s="298">
        <f>I70</f>
        <v>33124.82</v>
      </c>
      <c r="J77" s="299" t="e">
        <f>C77-SUM(D77:I77)</f>
        <v>#REF!</v>
      </c>
      <c r="K77" s="299">
        <f>SUM(D77:I77)</f>
        <v>4985409.37</v>
      </c>
      <c r="L77" s="299" t="e">
        <f t="shared" si="33"/>
        <v>#REF!</v>
      </c>
      <c r="M77" s="299">
        <f aca="true" t="shared" si="37" ref="M77:R77">M70</f>
        <v>5384701.45</v>
      </c>
      <c r="N77" s="299">
        <f t="shared" si="37"/>
        <v>2892312.7800000003</v>
      </c>
      <c r="O77" s="299">
        <f t="shared" si="37"/>
        <v>35544</v>
      </c>
      <c r="P77" s="299">
        <f t="shared" si="37"/>
        <v>2112127.2099999995</v>
      </c>
      <c r="Q77" s="299">
        <f t="shared" si="37"/>
        <v>533703.4</v>
      </c>
      <c r="R77" s="299">
        <f t="shared" si="37"/>
        <v>1709359.7</v>
      </c>
      <c r="S77" s="299" t="e">
        <f>J77-SUM(M77:R77)</f>
        <v>#REF!</v>
      </c>
      <c r="T77" s="299">
        <f>SUM(M77:R77)</f>
        <v>12667748.54</v>
      </c>
      <c r="U77" s="299" t="e">
        <f>C77-K77-T77</f>
        <v>#REF!</v>
      </c>
      <c r="V77" s="24"/>
      <c r="W77" s="24"/>
      <c r="X77" s="24"/>
      <c r="Y77" s="24"/>
      <c r="Z77" s="24"/>
      <c r="AA77" s="24"/>
      <c r="AB77" s="53"/>
      <c r="AC77" s="53"/>
      <c r="AD77" s="24"/>
      <c r="AE77" s="56"/>
      <c r="AF77" s="52"/>
      <c r="AG77" s="52"/>
      <c r="AH77" s="24"/>
      <c r="AI77" s="24"/>
      <c r="AM77" s="53"/>
      <c r="AN77" s="53"/>
      <c r="AO77" s="24"/>
      <c r="AP77" s="24"/>
      <c r="AQ77" s="110"/>
      <c r="AR77" s="110"/>
      <c r="AS77" s="110"/>
      <c r="AT77" s="110"/>
      <c r="AU77" s="110"/>
      <c r="AV77" s="110"/>
      <c r="AW77" s="110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57" customFormat="1" ht="15">
      <c r="A78" s="24"/>
      <c r="B78" s="24"/>
      <c r="C78" s="25"/>
      <c r="D78" s="24"/>
      <c r="E78" s="296"/>
      <c r="F78" s="296"/>
      <c r="G78" s="296"/>
      <c r="H78" s="296"/>
      <c r="I78" s="296"/>
      <c r="J78" s="299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24"/>
      <c r="W78" s="24"/>
      <c r="X78" s="24"/>
      <c r="Y78" s="24"/>
      <c r="Z78" s="24"/>
      <c r="AA78" s="24"/>
      <c r="AB78" s="53"/>
      <c r="AC78" s="53"/>
      <c r="AD78" s="24"/>
      <c r="AE78" s="56"/>
      <c r="AF78" s="52"/>
      <c r="AG78" s="52"/>
      <c r="AH78" s="24"/>
      <c r="AI78" s="24"/>
      <c r="AM78" s="53"/>
      <c r="AN78" s="53"/>
      <c r="AO78" s="24"/>
      <c r="AP78" s="24"/>
      <c r="AQ78" s="110"/>
      <c r="AR78" s="110"/>
      <c r="AS78" s="110"/>
      <c r="AT78" s="110"/>
      <c r="AU78" s="110"/>
      <c r="AV78" s="110"/>
      <c r="AW78" s="110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s="57" customFormat="1" ht="15.75">
      <c r="A79" s="301" t="s">
        <v>93</v>
      </c>
      <c r="B79" s="24"/>
      <c r="C79" s="25"/>
      <c r="D79" s="24"/>
      <c r="E79" s="296"/>
      <c r="F79" s="61"/>
      <c r="G79" s="296"/>
      <c r="H79" s="296"/>
      <c r="I79" s="296"/>
      <c r="J79" s="299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24"/>
      <c r="W79" s="24"/>
      <c r="X79" s="24"/>
      <c r="Y79" s="24"/>
      <c r="Z79" s="24"/>
      <c r="AA79" s="24"/>
      <c r="AB79" s="53"/>
      <c r="AC79" s="53"/>
      <c r="AD79" s="24"/>
      <c r="AE79" s="56"/>
      <c r="AF79" s="52"/>
      <c r="AG79" s="52"/>
      <c r="AH79" s="24"/>
      <c r="AI79" s="24"/>
      <c r="AM79" s="53"/>
      <c r="AN79" s="53"/>
      <c r="AO79" s="24"/>
      <c r="AP79" s="24"/>
      <c r="AQ79" s="110"/>
      <c r="AR79" s="110"/>
      <c r="AS79" s="110"/>
      <c r="AT79" s="110"/>
      <c r="AU79" s="110"/>
      <c r="AV79" s="110"/>
      <c r="AW79" s="110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s="57" customFormat="1" ht="15">
      <c r="A80" s="258" t="s">
        <v>86</v>
      </c>
      <c r="B80" s="24"/>
      <c r="C80" s="290" t="e">
        <f>C70-C73</f>
        <v>#REF!</v>
      </c>
      <c r="D80" s="291">
        <f>D70-D72</f>
        <v>0</v>
      </c>
      <c r="E80" s="295" t="e">
        <f>C72-E72</f>
        <v>#REF!</v>
      </c>
      <c r="F80" s="295" t="e">
        <f>E80-F72</f>
        <v>#REF!</v>
      </c>
      <c r="G80" s="295" t="e">
        <f>F80-G72</f>
        <v>#REF!</v>
      </c>
      <c r="H80" s="295" t="e">
        <f>G80-H72</f>
        <v>#REF!</v>
      </c>
      <c r="I80" s="295" t="e">
        <f>H80-I72</f>
        <v>#REF!</v>
      </c>
      <c r="J80" s="299" t="e">
        <f>I80</f>
        <v>#REF!</v>
      </c>
      <c r="K80" s="299" t="e">
        <f>C80-J80</f>
        <v>#REF!</v>
      </c>
      <c r="L80" s="299" t="e">
        <f>C72-K80</f>
        <v>#REF!</v>
      </c>
      <c r="M80" s="292" t="e">
        <f>J80-M72</f>
        <v>#REF!</v>
      </c>
      <c r="N80" s="292" t="e">
        <f>M80-N72</f>
        <v>#REF!</v>
      </c>
      <c r="O80" s="292" t="e">
        <f>N80-O72</f>
        <v>#REF!</v>
      </c>
      <c r="P80" s="292" t="e">
        <f>O80-P72</f>
        <v>#REF!</v>
      </c>
      <c r="Q80" s="292" t="e">
        <f>P80-Q72</f>
        <v>#REF!</v>
      </c>
      <c r="R80" s="292" t="e">
        <f>Q80-R72</f>
        <v>#REF!</v>
      </c>
      <c r="S80" s="299" t="e">
        <f>R80</f>
        <v>#REF!</v>
      </c>
      <c r="T80" s="299" t="e">
        <f>J80-S80</f>
        <v>#REF!</v>
      </c>
      <c r="U80" s="299" t="e">
        <f>C80-K80-T80</f>
        <v>#REF!</v>
      </c>
      <c r="V80" s="24"/>
      <c r="W80" s="24"/>
      <c r="X80" s="24"/>
      <c r="Y80" s="24"/>
      <c r="Z80" s="24"/>
      <c r="AA80" s="24"/>
      <c r="AB80" s="53"/>
      <c r="AC80" s="53"/>
      <c r="AD80" s="24"/>
      <c r="AE80" s="56"/>
      <c r="AF80" s="52"/>
      <c r="AG80" s="52"/>
      <c r="AH80" s="58"/>
      <c r="AI80" s="58"/>
      <c r="AM80" s="53"/>
      <c r="AN80" s="53"/>
      <c r="AO80" s="24"/>
      <c r="AP80" s="24"/>
      <c r="AQ80" s="110"/>
      <c r="AR80" s="110"/>
      <c r="AS80" s="110"/>
      <c r="AT80" s="110"/>
      <c r="AU80" s="110"/>
      <c r="AV80" s="110"/>
      <c r="AW80" s="110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s="57" customFormat="1" ht="15">
      <c r="A81" s="258" t="s">
        <v>87</v>
      </c>
      <c r="B81" s="24"/>
      <c r="C81" s="23" t="e">
        <f>C71-C80</f>
        <v>#REF!</v>
      </c>
      <c r="D81" s="291">
        <f>D72-D80</f>
        <v>0</v>
      </c>
      <c r="E81" s="295"/>
      <c r="F81" s="295"/>
      <c r="G81" s="295"/>
      <c r="H81" s="295"/>
      <c r="I81" s="295"/>
      <c r="J81" s="295"/>
      <c r="K81" s="53"/>
      <c r="L81" s="299"/>
      <c r="M81" s="24"/>
      <c r="N81" s="24"/>
      <c r="O81" s="24"/>
      <c r="P81" s="24"/>
      <c r="Q81" s="24"/>
      <c r="R81" s="24"/>
      <c r="S81" s="53"/>
      <c r="T81" s="53"/>
      <c r="U81" s="113"/>
      <c r="V81" s="24"/>
      <c r="W81" s="24"/>
      <c r="X81" s="24"/>
      <c r="Y81" s="24"/>
      <c r="Z81" s="24"/>
      <c r="AA81" s="24"/>
      <c r="AB81" s="53"/>
      <c r="AC81" s="53"/>
      <c r="AD81" s="24"/>
      <c r="AE81" s="59"/>
      <c r="AF81" s="60"/>
      <c r="AG81" s="60"/>
      <c r="AH81" s="61"/>
      <c r="AI81" s="61"/>
      <c r="AM81" s="53"/>
      <c r="AN81" s="53"/>
      <c r="AO81" s="24"/>
      <c r="AP81" s="24"/>
      <c r="AQ81" s="110"/>
      <c r="AR81" s="110"/>
      <c r="AS81" s="110"/>
      <c r="AT81" s="110"/>
      <c r="AU81" s="110"/>
      <c r="AV81" s="110"/>
      <c r="AW81" s="110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4:256" s="57" customFormat="1" ht="15">
      <c r="D82" s="24"/>
      <c r="E82" s="24"/>
      <c r="F82" s="24"/>
      <c r="G82" s="24"/>
      <c r="H82" s="24"/>
      <c r="I82" s="24" t="s">
        <v>94</v>
      </c>
      <c r="J82" s="302" t="e">
        <f>J70-J72-J73</f>
        <v>#REF!</v>
      </c>
      <c r="K82" s="53"/>
      <c r="L82" s="24"/>
      <c r="M82" s="24"/>
      <c r="N82" s="24"/>
      <c r="O82" s="24"/>
      <c r="P82" s="24"/>
      <c r="Q82" s="24"/>
      <c r="R82" s="24" t="s">
        <v>94</v>
      </c>
      <c r="S82" s="302" t="e">
        <f>S70-S72-S73</f>
        <v>#REF!</v>
      </c>
      <c r="T82" s="53"/>
      <c r="U82" s="113"/>
      <c r="V82" s="24"/>
      <c r="W82" s="24"/>
      <c r="X82" s="24"/>
      <c r="Y82" s="24"/>
      <c r="Z82" s="24"/>
      <c r="AA82" s="24"/>
      <c r="AB82" s="53"/>
      <c r="AC82" s="53"/>
      <c r="AD82" s="24"/>
      <c r="AE82" s="51"/>
      <c r="AF82" s="52"/>
      <c r="AG82" s="52"/>
      <c r="AH82" s="24"/>
      <c r="AI82" s="24"/>
      <c r="AM82" s="53"/>
      <c r="AN82" s="53"/>
      <c r="AO82" s="24"/>
      <c r="AP82" s="24"/>
      <c r="AQ82" s="110"/>
      <c r="AR82" s="110"/>
      <c r="AS82" s="110"/>
      <c r="AT82" s="110"/>
      <c r="AU82" s="110"/>
      <c r="AV82" s="110"/>
      <c r="AW82" s="110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s="57" customFormat="1" ht="15">
      <c r="A83" s="24"/>
      <c r="B83" s="24"/>
      <c r="C83" s="25"/>
      <c r="D83" s="24"/>
      <c r="E83" s="24"/>
      <c r="F83" s="24"/>
      <c r="G83" s="24"/>
      <c r="H83" s="24"/>
      <c r="I83" s="24"/>
      <c r="J83" s="53"/>
      <c r="K83" s="53"/>
      <c r="L83" s="24"/>
      <c r="M83" s="24"/>
      <c r="N83" s="24"/>
      <c r="O83" s="24"/>
      <c r="P83" s="24"/>
      <c r="Q83" s="24"/>
      <c r="R83" s="24"/>
      <c r="S83" s="53"/>
      <c r="T83" s="53"/>
      <c r="U83" s="113"/>
      <c r="V83" s="24"/>
      <c r="W83" s="62"/>
      <c r="X83" s="62"/>
      <c r="Y83" s="62"/>
      <c r="Z83" s="24"/>
      <c r="AA83" s="24"/>
      <c r="AB83" s="53"/>
      <c r="AC83" s="53"/>
      <c r="AD83" s="24"/>
      <c r="AE83" s="51"/>
      <c r="AF83" s="52"/>
      <c r="AG83" s="52"/>
      <c r="AH83" s="24"/>
      <c r="AI83" s="24"/>
      <c r="AM83" s="53"/>
      <c r="AN83" s="53"/>
      <c r="AO83" s="24"/>
      <c r="AP83" s="24"/>
      <c r="AQ83" s="110"/>
      <c r="AR83" s="110"/>
      <c r="AS83" s="110"/>
      <c r="AT83" s="110"/>
      <c r="AU83" s="110"/>
      <c r="AV83" s="110"/>
      <c r="AW83" s="110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256" s="57" customFormat="1" ht="15">
      <c r="A84" s="24"/>
      <c r="B84" s="24"/>
      <c r="C84" s="23"/>
      <c r="D84" s="24"/>
      <c r="E84" s="24"/>
      <c r="F84" s="24"/>
      <c r="G84" s="24"/>
      <c r="H84" s="24"/>
      <c r="I84" s="24"/>
      <c r="J84" s="53"/>
      <c r="K84" s="53"/>
      <c r="L84" s="24"/>
      <c r="M84" s="24"/>
      <c r="N84" s="24"/>
      <c r="O84" s="24"/>
      <c r="P84" s="24"/>
      <c r="Q84" s="24"/>
      <c r="R84" s="24"/>
      <c r="S84" s="53"/>
      <c r="T84" s="53"/>
      <c r="U84" s="113"/>
      <c r="V84" s="24"/>
      <c r="W84" s="24"/>
      <c r="X84" s="24"/>
      <c r="Y84" s="24"/>
      <c r="Z84" s="24"/>
      <c r="AA84" s="24"/>
      <c r="AB84" s="53"/>
      <c r="AC84" s="53"/>
      <c r="AD84" s="24"/>
      <c r="AE84" s="51"/>
      <c r="AF84" s="52"/>
      <c r="AG84" s="52"/>
      <c r="AH84" s="24"/>
      <c r="AI84" s="24"/>
      <c r="AM84" s="53"/>
      <c r="AN84" s="53"/>
      <c r="AO84" s="24"/>
      <c r="AP84" s="24"/>
      <c r="AQ84" s="110"/>
      <c r="AR84" s="110"/>
      <c r="AS84" s="110"/>
      <c r="AT84" s="110"/>
      <c r="AU84" s="110"/>
      <c r="AV84" s="110"/>
      <c r="AW84" s="110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1:256" s="57" customFormat="1" ht="15">
      <c r="A85" s="24"/>
      <c r="B85" s="24"/>
      <c r="C85" s="23"/>
      <c r="D85" s="24"/>
      <c r="E85" s="24"/>
      <c r="F85" s="24"/>
      <c r="G85" s="24"/>
      <c r="H85" s="24"/>
      <c r="I85" s="24"/>
      <c r="J85" s="53"/>
      <c r="K85" s="53"/>
      <c r="L85" s="24"/>
      <c r="M85" s="24"/>
      <c r="N85" s="24"/>
      <c r="O85" s="24"/>
      <c r="P85" s="24"/>
      <c r="Q85" s="24"/>
      <c r="R85" s="24"/>
      <c r="S85" s="53"/>
      <c r="T85" s="53"/>
      <c r="U85" s="113"/>
      <c r="V85" s="24"/>
      <c r="W85" s="24"/>
      <c r="X85" s="24"/>
      <c r="Y85" s="24"/>
      <c r="Z85" s="24"/>
      <c r="AA85" s="24"/>
      <c r="AB85" s="53"/>
      <c r="AC85" s="53"/>
      <c r="AD85" s="24"/>
      <c r="AE85" s="51"/>
      <c r="AF85" s="52"/>
      <c r="AG85" s="52"/>
      <c r="AH85" s="24"/>
      <c r="AI85" s="24"/>
      <c r="AM85" s="53"/>
      <c r="AN85" s="53"/>
      <c r="AO85" s="24"/>
      <c r="AP85" s="24"/>
      <c r="AQ85" s="110"/>
      <c r="AR85" s="110"/>
      <c r="AS85" s="110"/>
      <c r="AT85" s="110"/>
      <c r="AU85" s="110"/>
      <c r="AV85" s="110"/>
      <c r="AW85" s="110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s="57" customFormat="1" ht="15">
      <c r="A86" s="24"/>
      <c r="B86" s="24"/>
      <c r="C86" s="25"/>
      <c r="D86" s="24"/>
      <c r="E86" s="24"/>
      <c r="F86" s="24"/>
      <c r="G86" s="24"/>
      <c r="H86" s="24"/>
      <c r="I86" s="24"/>
      <c r="J86" s="53"/>
      <c r="K86" s="53"/>
      <c r="L86" s="24"/>
      <c r="M86" s="24"/>
      <c r="N86" s="24"/>
      <c r="O86" s="24"/>
      <c r="P86" s="24"/>
      <c r="Q86" s="24"/>
      <c r="R86" s="24"/>
      <c r="S86" s="53"/>
      <c r="T86" s="53"/>
      <c r="U86" s="113"/>
      <c r="V86" s="24"/>
      <c r="W86" s="24"/>
      <c r="X86" s="24"/>
      <c r="Y86" s="24"/>
      <c r="Z86" s="24"/>
      <c r="AA86" s="24"/>
      <c r="AB86" s="53"/>
      <c r="AC86" s="53"/>
      <c r="AD86" s="24"/>
      <c r="AE86" s="63"/>
      <c r="AF86" s="52"/>
      <c r="AG86" s="52"/>
      <c r="AH86" s="24"/>
      <c r="AI86" s="24"/>
      <c r="AM86" s="53"/>
      <c r="AN86" s="53"/>
      <c r="AO86" s="24"/>
      <c r="AP86" s="24"/>
      <c r="AQ86" s="110"/>
      <c r="AR86" s="110"/>
      <c r="AS86" s="110"/>
      <c r="AT86" s="110"/>
      <c r="AU86" s="110"/>
      <c r="AV86" s="110"/>
      <c r="AW86" s="110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1:256" s="57" customFormat="1" ht="15">
      <c r="A87" s="24"/>
      <c r="B87" s="24"/>
      <c r="C87" s="25"/>
      <c r="D87" s="24"/>
      <c r="E87" s="24"/>
      <c r="F87" s="24"/>
      <c r="G87" s="24"/>
      <c r="H87" s="24"/>
      <c r="I87" s="24"/>
      <c r="J87" s="53"/>
      <c r="K87" s="53"/>
      <c r="L87" s="24"/>
      <c r="M87" s="24"/>
      <c r="N87" s="24"/>
      <c r="O87" s="24"/>
      <c r="P87" s="24"/>
      <c r="Q87" s="24"/>
      <c r="R87" s="24"/>
      <c r="S87" s="53"/>
      <c r="T87" s="53"/>
      <c r="U87" s="113"/>
      <c r="V87" s="24"/>
      <c r="W87" s="24"/>
      <c r="X87" s="24"/>
      <c r="Y87" s="24"/>
      <c r="Z87" s="24"/>
      <c r="AA87" s="24"/>
      <c r="AB87" s="53"/>
      <c r="AC87" s="53"/>
      <c r="AD87" s="24"/>
      <c r="AE87" s="56"/>
      <c r="AF87" s="52"/>
      <c r="AG87" s="52"/>
      <c r="AH87" s="24"/>
      <c r="AI87" s="24"/>
      <c r="AM87" s="53"/>
      <c r="AN87" s="53"/>
      <c r="AO87" s="24"/>
      <c r="AP87" s="24"/>
      <c r="AQ87" s="110"/>
      <c r="AR87" s="110"/>
      <c r="AS87" s="110"/>
      <c r="AT87" s="110"/>
      <c r="AU87" s="110"/>
      <c r="AV87" s="110"/>
      <c r="AW87" s="110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1:256" s="57" customFormat="1" ht="15">
      <c r="A88" s="24"/>
      <c r="B88" s="24"/>
      <c r="C88" s="25"/>
      <c r="D88" s="24"/>
      <c r="E88" s="24"/>
      <c r="F88" s="24"/>
      <c r="G88" s="24"/>
      <c r="H88" s="24"/>
      <c r="I88" s="24"/>
      <c r="J88" s="53"/>
      <c r="K88" s="53"/>
      <c r="L88" s="24"/>
      <c r="M88" s="24"/>
      <c r="N88" s="24"/>
      <c r="O88" s="24"/>
      <c r="P88" s="24"/>
      <c r="Q88" s="24"/>
      <c r="R88" s="24"/>
      <c r="S88" s="53"/>
      <c r="T88" s="53"/>
      <c r="U88" s="113"/>
      <c r="V88" s="24"/>
      <c r="W88" s="24"/>
      <c r="X88" s="24"/>
      <c r="Y88" s="24"/>
      <c r="Z88" s="24"/>
      <c r="AA88" s="24"/>
      <c r="AB88" s="53"/>
      <c r="AC88" s="53"/>
      <c r="AD88" s="24"/>
      <c r="AE88" s="64"/>
      <c r="AF88" s="52"/>
      <c r="AG88" s="52"/>
      <c r="AH88" s="24"/>
      <c r="AI88" s="24"/>
      <c r="AM88" s="53"/>
      <c r="AN88" s="53"/>
      <c r="AO88" s="24"/>
      <c r="AP88" s="24"/>
      <c r="AQ88" s="110"/>
      <c r="AR88" s="110"/>
      <c r="AS88" s="110"/>
      <c r="AT88" s="110"/>
      <c r="AU88" s="110"/>
      <c r="AV88" s="110"/>
      <c r="AW88" s="110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</sheetData>
  <sheetProtection/>
  <mergeCells count="12">
    <mergeCell ref="B24:B25"/>
    <mergeCell ref="A53:B53"/>
    <mergeCell ref="A56:B56"/>
    <mergeCell ref="A60:B60"/>
    <mergeCell ref="B37:B40"/>
    <mergeCell ref="B41:B42"/>
    <mergeCell ref="A62:B62"/>
    <mergeCell ref="A3:B3"/>
    <mergeCell ref="A34:B34"/>
    <mergeCell ref="A55:B55"/>
    <mergeCell ref="B17:B18"/>
    <mergeCell ref="B21:B22"/>
  </mergeCells>
  <printOptions/>
  <pageMargins left="0.15748031496062992" right="0.15748031496062992" top="0.27" bottom="0.32" header="0.19" footer="0.2"/>
  <pageSetup fitToHeight="1" fitToWidth="1"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63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5" sqref="B15:C25"/>
    </sheetView>
  </sheetViews>
  <sheetFormatPr defaultColWidth="9.140625" defaultRowHeight="15" outlineLevelRow="1" outlineLevelCol="1"/>
  <cols>
    <col min="1" max="1" width="47.7109375" style="191" customWidth="1"/>
    <col min="2" max="2" width="9.28125" style="191" customWidth="1"/>
    <col min="3" max="3" width="19.421875" style="250" customWidth="1"/>
    <col min="4" max="4" width="13.00390625" style="191" hidden="1" customWidth="1" outlineLevel="1"/>
    <col min="5" max="5" width="13.28125" style="191" hidden="1" customWidth="1" outlineLevel="1"/>
    <col min="6" max="6" width="13.8515625" style="191" hidden="1" customWidth="1" outlineLevel="1"/>
    <col min="7" max="7" width="14.00390625" style="191" hidden="1" customWidth="1" outlineLevel="1"/>
    <col min="8" max="8" width="14.421875" style="191" hidden="1" customWidth="1" outlineLevel="1"/>
    <col min="9" max="9" width="13.28125" style="191" hidden="1" customWidth="1" outlineLevel="1"/>
    <col min="10" max="10" width="15.00390625" style="251" hidden="1" customWidth="1" outlineLevel="1"/>
    <col min="11" max="11" width="15.7109375" style="251" customWidth="1" collapsed="1"/>
    <col min="12" max="12" width="18.57421875" style="207" customWidth="1"/>
    <col min="13" max="13" width="14.140625" style="191" hidden="1" customWidth="1" outlineLevel="1"/>
    <col min="14" max="14" width="14.00390625" style="191" hidden="1" customWidth="1" outlineLevel="1"/>
    <col min="15" max="15" width="13.421875" style="191" hidden="1" customWidth="1" outlineLevel="1"/>
    <col min="16" max="16" width="15.8515625" style="191" hidden="1" customWidth="1" outlineLevel="1"/>
    <col min="17" max="17" width="14.7109375" style="191" hidden="1" customWidth="1" outlineLevel="1"/>
    <col min="18" max="18" width="13.57421875" style="191" hidden="1" customWidth="1" outlineLevel="1"/>
    <col min="19" max="19" width="15.8515625" style="251" hidden="1" customWidth="1" outlineLevel="1"/>
    <col min="20" max="20" width="16.140625" style="251" customWidth="1" collapsed="1"/>
    <col min="21" max="21" width="18.00390625" style="207" customWidth="1"/>
    <col min="22" max="22" width="13.8515625" style="191" hidden="1" customWidth="1" outlineLevel="1"/>
    <col min="23" max="23" width="14.140625" style="191" hidden="1" customWidth="1" outlineLevel="1"/>
    <col min="24" max="24" width="14.7109375" style="191" hidden="1" customWidth="1" outlineLevel="1"/>
    <col min="25" max="25" width="14.28125" style="191" hidden="1" customWidth="1" outlineLevel="1"/>
    <col min="26" max="26" width="14.7109375" style="191" hidden="1" customWidth="1" outlineLevel="1"/>
    <col min="27" max="27" width="15.28125" style="191" hidden="1" customWidth="1" outlineLevel="1"/>
    <col min="28" max="28" width="14.8515625" style="251" hidden="1" customWidth="1" outlineLevel="1"/>
    <col min="29" max="29" width="16.00390625" style="251" customWidth="1" collapsed="1"/>
    <col min="30" max="30" width="18.140625" style="207" customWidth="1"/>
    <col min="31" max="31" width="14.421875" style="191" hidden="1" customWidth="1" outlineLevel="1"/>
    <col min="32" max="32" width="14.140625" style="191" hidden="1" customWidth="1" outlineLevel="1"/>
    <col min="33" max="33" width="15.140625" style="191" hidden="1" customWidth="1" outlineLevel="1"/>
    <col min="34" max="34" width="15.7109375" style="191" hidden="1" customWidth="1" outlineLevel="1"/>
    <col min="35" max="35" width="14.8515625" style="191" hidden="1" customWidth="1" outlineLevel="1"/>
    <col min="36" max="36" width="15.7109375" style="191" hidden="1" customWidth="1" outlineLevel="1"/>
    <col min="37" max="38" width="16.421875" style="191" hidden="1" customWidth="1" outlineLevel="1"/>
    <col min="39" max="39" width="14.8515625" style="251" hidden="1" customWidth="1" outlineLevel="1"/>
    <col min="40" max="40" width="16.28125" style="251" customWidth="1" collapsed="1"/>
    <col min="41" max="41" width="15.7109375" style="191" customWidth="1"/>
    <col min="42" max="42" width="19.140625" style="191" customWidth="1"/>
    <col min="43" max="43" width="9.140625" style="190" customWidth="1"/>
    <col min="44" max="16384" width="9.140625" style="191" customWidth="1"/>
  </cols>
  <sheetData>
    <row r="1" spans="1:42" ht="18.75">
      <c r="A1" s="185" t="s">
        <v>36</v>
      </c>
      <c r="B1" s="186"/>
      <c r="C1" s="187"/>
      <c r="D1" s="186"/>
      <c r="E1" s="186"/>
      <c r="F1" s="186"/>
      <c r="G1" s="186"/>
      <c r="H1" s="186"/>
      <c r="I1" s="186"/>
      <c r="J1" s="188"/>
      <c r="K1" s="188"/>
      <c r="L1" s="189"/>
      <c r="M1" s="186"/>
      <c r="N1" s="186"/>
      <c r="O1" s="186"/>
      <c r="P1" s="186"/>
      <c r="Q1" s="186"/>
      <c r="R1" s="186"/>
      <c r="S1" s="188"/>
      <c r="T1" s="188"/>
      <c r="U1" s="189"/>
      <c r="V1" s="186"/>
      <c r="W1" s="186"/>
      <c r="X1" s="186"/>
      <c r="Y1" s="186"/>
      <c r="Z1" s="186"/>
      <c r="AA1" s="186"/>
      <c r="AB1" s="188"/>
      <c r="AC1" s="188"/>
      <c r="AD1" s="189"/>
      <c r="AE1" s="186"/>
      <c r="AF1" s="186"/>
      <c r="AG1" s="186"/>
      <c r="AH1" s="186"/>
      <c r="AI1" s="186"/>
      <c r="AJ1" s="186"/>
      <c r="AK1" s="186"/>
      <c r="AL1" s="186"/>
      <c r="AM1" s="188"/>
      <c r="AN1" s="188"/>
      <c r="AO1" s="186"/>
      <c r="AP1" s="186"/>
    </row>
    <row r="2" spans="1:43" s="204" customFormat="1" ht="32.25" customHeight="1">
      <c r="A2" s="5" t="s">
        <v>0</v>
      </c>
      <c r="B2" s="146" t="s">
        <v>1</v>
      </c>
      <c r="C2" s="192" t="s">
        <v>2</v>
      </c>
      <c r="D2" s="193">
        <v>43110</v>
      </c>
      <c r="E2" s="194">
        <v>43125</v>
      </c>
      <c r="F2" s="194">
        <v>43141</v>
      </c>
      <c r="G2" s="194">
        <v>43156</v>
      </c>
      <c r="H2" s="194">
        <v>43169</v>
      </c>
      <c r="I2" s="194">
        <v>43184</v>
      </c>
      <c r="J2" s="195" t="s">
        <v>3</v>
      </c>
      <c r="K2" s="197" t="s">
        <v>4</v>
      </c>
      <c r="L2" s="198" t="s">
        <v>5</v>
      </c>
      <c r="M2" s="263">
        <v>43200</v>
      </c>
      <c r="N2" s="262">
        <v>43215</v>
      </c>
      <c r="O2" s="262">
        <v>43230</v>
      </c>
      <c r="P2" s="262">
        <v>43245</v>
      </c>
      <c r="Q2" s="262">
        <v>43261</v>
      </c>
      <c r="R2" s="262">
        <v>43276</v>
      </c>
      <c r="S2" s="264" t="s">
        <v>6</v>
      </c>
      <c r="T2" s="197" t="s">
        <v>7</v>
      </c>
      <c r="U2" s="198" t="s">
        <v>8</v>
      </c>
      <c r="V2" s="263">
        <v>43291</v>
      </c>
      <c r="W2" s="262">
        <v>43306</v>
      </c>
      <c r="X2" s="262">
        <v>43322</v>
      </c>
      <c r="Y2" s="262">
        <v>43337</v>
      </c>
      <c r="Z2" s="262">
        <v>43353</v>
      </c>
      <c r="AA2" s="262">
        <v>43368</v>
      </c>
      <c r="AB2" s="195" t="s">
        <v>9</v>
      </c>
      <c r="AC2" s="197" t="s">
        <v>10</v>
      </c>
      <c r="AD2" s="198" t="s">
        <v>11</v>
      </c>
      <c r="AE2" s="193">
        <v>41922</v>
      </c>
      <c r="AF2" s="194">
        <v>41937</v>
      </c>
      <c r="AG2" s="194">
        <v>43414</v>
      </c>
      <c r="AH2" s="194">
        <v>43429</v>
      </c>
      <c r="AI2" s="194">
        <v>43444</v>
      </c>
      <c r="AJ2" s="199" t="s">
        <v>43</v>
      </c>
      <c r="AK2" s="200" t="s">
        <v>44</v>
      </c>
      <c r="AL2" s="200" t="s">
        <v>45</v>
      </c>
      <c r="AM2" s="195" t="s">
        <v>12</v>
      </c>
      <c r="AN2" s="196" t="s">
        <v>13</v>
      </c>
      <c r="AO2" s="201" t="s">
        <v>14</v>
      </c>
      <c r="AP2" s="202" t="s">
        <v>15</v>
      </c>
      <c r="AQ2" s="203"/>
    </row>
    <row r="3" spans="1:43" s="220" customFormat="1" ht="66" customHeight="1">
      <c r="A3" s="324" t="s">
        <v>41</v>
      </c>
      <c r="B3" s="325"/>
      <c r="C3" s="208"/>
      <c r="D3" s="209"/>
      <c r="E3" s="210"/>
      <c r="F3" s="210"/>
      <c r="G3" s="210"/>
      <c r="H3" s="210"/>
      <c r="I3" s="210"/>
      <c r="J3" s="211"/>
      <c r="K3" s="212"/>
      <c r="L3" s="213"/>
      <c r="M3" s="209"/>
      <c r="N3" s="210"/>
      <c r="O3" s="210"/>
      <c r="P3" s="210"/>
      <c r="Q3" s="210"/>
      <c r="R3" s="210"/>
      <c r="S3" s="211"/>
      <c r="T3" s="212"/>
      <c r="U3" s="214"/>
      <c r="V3" s="215"/>
      <c r="W3" s="210"/>
      <c r="X3" s="210"/>
      <c r="Y3" s="210"/>
      <c r="Z3" s="210"/>
      <c r="AA3" s="210"/>
      <c r="AB3" s="216"/>
      <c r="AC3" s="212"/>
      <c r="AD3" s="214"/>
      <c r="AE3" s="209"/>
      <c r="AF3" s="210"/>
      <c r="AG3" s="210"/>
      <c r="AH3" s="210"/>
      <c r="AI3" s="210"/>
      <c r="AJ3" s="210"/>
      <c r="AK3" s="210"/>
      <c r="AL3" s="210"/>
      <c r="AM3" s="217"/>
      <c r="AN3" s="217"/>
      <c r="AO3" s="210"/>
      <c r="AP3" s="218"/>
      <c r="AQ3" s="219"/>
    </row>
    <row r="4" spans="1:42" ht="107.25" customHeight="1">
      <c r="A4" s="322" t="s">
        <v>40</v>
      </c>
      <c r="B4" s="323"/>
      <c r="C4" s="221"/>
      <c r="D4" s="222"/>
      <c r="E4" s="222"/>
      <c r="F4" s="222"/>
      <c r="G4" s="222"/>
      <c r="H4" s="222"/>
      <c r="I4" s="222"/>
      <c r="J4" s="237"/>
      <c r="K4" s="223"/>
      <c r="L4" s="226"/>
      <c r="M4" s="222"/>
      <c r="N4" s="237"/>
      <c r="O4" s="237"/>
      <c r="P4" s="237"/>
      <c r="Q4" s="237"/>
      <c r="R4" s="237"/>
      <c r="S4" s="237"/>
      <c r="T4" s="223"/>
      <c r="U4" s="226"/>
      <c r="V4" s="224"/>
      <c r="W4" s="227"/>
      <c r="X4" s="227"/>
      <c r="Y4" s="227"/>
      <c r="Z4" s="227"/>
      <c r="AA4" s="227"/>
      <c r="AB4" s="227"/>
      <c r="AC4" s="225"/>
      <c r="AD4" s="226"/>
      <c r="AE4" s="222"/>
      <c r="AF4" s="237"/>
      <c r="AG4" s="237"/>
      <c r="AH4" s="237"/>
      <c r="AI4" s="237"/>
      <c r="AJ4" s="237"/>
      <c r="AK4" s="237"/>
      <c r="AL4" s="237"/>
      <c r="AM4" s="237"/>
      <c r="AN4" s="227"/>
      <c r="AO4" s="227"/>
      <c r="AP4" s="228"/>
    </row>
    <row r="5" spans="1:42" ht="37.5" customHeight="1">
      <c r="A5" s="229" t="s">
        <v>46</v>
      </c>
      <c r="B5" s="230">
        <v>342</v>
      </c>
      <c r="C5" s="205">
        <f>SUM(C6:C6)</f>
        <v>1071500</v>
      </c>
      <c r="D5" s="231">
        <f>SUM(D6:D6)</f>
        <v>0</v>
      </c>
      <c r="E5" s="231">
        <f>SUM(E6:E6)</f>
        <v>0</v>
      </c>
      <c r="F5" s="231">
        <f>SUM(F6:F6)</f>
        <v>0</v>
      </c>
      <c r="G5" s="231">
        <f>SUM(G6:G6)</f>
        <v>0</v>
      </c>
      <c r="H5" s="231">
        <f>SUM(H6:H6)</f>
        <v>0</v>
      </c>
      <c r="I5" s="231">
        <f>SUM(I6:I6)</f>
        <v>0</v>
      </c>
      <c r="J5" s="233">
        <f>C5-SUM(D5:I5)</f>
        <v>1071500</v>
      </c>
      <c r="K5" s="234">
        <f>SUM(D5:I5)</f>
        <v>0</v>
      </c>
      <c r="L5" s="206">
        <f>C5-K5</f>
        <v>1071500</v>
      </c>
      <c r="M5" s="236">
        <f>SUM(M6:M6)</f>
        <v>0</v>
      </c>
      <c r="N5" s="236">
        <f>SUM(N6:N6)</f>
        <v>0</v>
      </c>
      <c r="O5" s="236">
        <f>SUM(O6:O6)</f>
        <v>0</v>
      </c>
      <c r="P5" s="236">
        <f>SUM(P6:P6)</f>
        <v>0</v>
      </c>
      <c r="Q5" s="236">
        <f>SUM(Q6:Q6)</f>
        <v>0</v>
      </c>
      <c r="R5" s="236">
        <f>SUM(R6:R6)</f>
        <v>0</v>
      </c>
      <c r="S5" s="238">
        <f>L5-SUM(M5:R5)</f>
        <v>1071500</v>
      </c>
      <c r="T5" s="239">
        <f>SUM(M5:R5)</f>
        <v>0</v>
      </c>
      <c r="U5" s="206">
        <f>L5-T5</f>
        <v>1071500</v>
      </c>
      <c r="V5" s="231">
        <f>SUM(V6:V6)</f>
        <v>152700</v>
      </c>
      <c r="W5" s="231">
        <f>SUM(W6:W6)</f>
        <v>0</v>
      </c>
      <c r="X5" s="231">
        <f>SUM(X6:X6)</f>
        <v>786000</v>
      </c>
      <c r="Y5" s="231">
        <f>SUM(Y6:Y6)</f>
        <v>132800</v>
      </c>
      <c r="Z5" s="231">
        <f>SUM(Z6:Z6)</f>
        <v>0</v>
      </c>
      <c r="AA5" s="231">
        <f>SUM(AA6:AA6)</f>
        <v>0</v>
      </c>
      <c r="AB5" s="233">
        <f>U5-SUM(V5:AA5)</f>
        <v>0</v>
      </c>
      <c r="AC5" s="234">
        <f>SUM(V5:AA5)</f>
        <v>1071500</v>
      </c>
      <c r="AD5" s="206">
        <f>U5-AC5</f>
        <v>0</v>
      </c>
      <c r="AE5" s="231">
        <f>SUM(AE6:AE6)</f>
        <v>0</v>
      </c>
      <c r="AF5" s="231">
        <f>SUM(AF6:AF6)</f>
        <v>0</v>
      </c>
      <c r="AG5" s="231">
        <f>SUM(AG6:AG6)</f>
        <v>0</v>
      </c>
      <c r="AH5" s="231">
        <f>SUM(AH6:AH6)</f>
        <v>0</v>
      </c>
      <c r="AI5" s="231">
        <f>SUM(AI6:AI6)</f>
        <v>0</v>
      </c>
      <c r="AJ5" s="231">
        <f>SUM(AJ6:AJ6)</f>
        <v>0</v>
      </c>
      <c r="AK5" s="231">
        <f>SUM(AK6:AK6)</f>
        <v>0</v>
      </c>
      <c r="AL5" s="231">
        <f>SUM(AL6:AL6)</f>
        <v>0</v>
      </c>
      <c r="AM5" s="233">
        <f>AD5-SUM(AE5:AL5)</f>
        <v>0</v>
      </c>
      <c r="AN5" s="233">
        <f>SUM(AE5:AK5)</f>
        <v>0</v>
      </c>
      <c r="AO5" s="232">
        <f>K5+T5+AC5+AN5</f>
        <v>1071500</v>
      </c>
      <c r="AP5" s="235">
        <f>(K5+T5+AC5+AN5)/C5*100</f>
        <v>100</v>
      </c>
    </row>
    <row r="6" spans="1:42" ht="15">
      <c r="A6" s="240" t="s">
        <v>37</v>
      </c>
      <c r="B6" s="241">
        <v>342</v>
      </c>
      <c r="C6" s="242">
        <f>1338700-267200</f>
        <v>1071500</v>
      </c>
      <c r="D6" s="231"/>
      <c r="E6" s="232"/>
      <c r="F6" s="232"/>
      <c r="G6" s="232"/>
      <c r="H6" s="232"/>
      <c r="I6" s="232"/>
      <c r="J6" s="233">
        <f>C6-SUM(D6:I6)</f>
        <v>1071500</v>
      </c>
      <c r="K6" s="234">
        <f>SUM(D6:I6)</f>
        <v>0</v>
      </c>
      <c r="L6" s="206">
        <f>C6-K6</f>
        <v>1071500</v>
      </c>
      <c r="M6" s="231"/>
      <c r="N6" s="232"/>
      <c r="O6" s="232"/>
      <c r="P6" s="232"/>
      <c r="Q6" s="232"/>
      <c r="R6" s="232"/>
      <c r="S6" s="233">
        <f>L6-SUM(M6:R6)</f>
        <v>1071500</v>
      </c>
      <c r="T6" s="234">
        <f>SUM(M6:R6)</f>
        <v>0</v>
      </c>
      <c r="U6" s="206">
        <f>L6-T6</f>
        <v>1071500</v>
      </c>
      <c r="V6" s="231">
        <v>152700</v>
      </c>
      <c r="W6" s="232"/>
      <c r="X6" s="232">
        <f>386000+400000</f>
        <v>786000</v>
      </c>
      <c r="Y6" s="232">
        <v>132800</v>
      </c>
      <c r="Z6" s="232"/>
      <c r="AA6" s="232"/>
      <c r="AB6" s="233">
        <f>U6-SUM(V6:AA6)</f>
        <v>0</v>
      </c>
      <c r="AC6" s="234">
        <f>SUM(V6:AA6)</f>
        <v>1071500</v>
      </c>
      <c r="AD6" s="206">
        <f>U6-AC6</f>
        <v>0</v>
      </c>
      <c r="AE6" s="231"/>
      <c r="AF6" s="232"/>
      <c r="AG6" s="232"/>
      <c r="AH6" s="232"/>
      <c r="AI6" s="232"/>
      <c r="AJ6" s="232"/>
      <c r="AK6" s="232"/>
      <c r="AL6" s="232"/>
      <c r="AM6" s="233">
        <f>AD6-SUM(AE6:AL6)</f>
        <v>0</v>
      </c>
      <c r="AN6" s="233">
        <f>SUM(AE6:AK6)</f>
        <v>0</v>
      </c>
      <c r="AO6" s="232">
        <f>K6+T6+AC6+AN6</f>
        <v>1071500</v>
      </c>
      <c r="AP6" s="235">
        <f>(K6+T6+AC6+AN6)/C6*100</f>
        <v>100</v>
      </c>
    </row>
    <row r="7" spans="1:42" ht="43.5" customHeight="1">
      <c r="A7" s="229" t="s">
        <v>101</v>
      </c>
      <c r="B7" s="230">
        <v>342</v>
      </c>
      <c r="C7" s="205">
        <f>SUM(C8:C8)</f>
        <v>14000</v>
      </c>
      <c r="D7" s="231">
        <f>SUM(D8:D8)</f>
        <v>0</v>
      </c>
      <c r="E7" s="231">
        <f>SUM(E8:E8)</f>
        <v>0</v>
      </c>
      <c r="F7" s="231">
        <f>SUM(F8:F8)</f>
        <v>0</v>
      </c>
      <c r="G7" s="231">
        <f>SUM(G8:G8)</f>
        <v>0</v>
      </c>
      <c r="H7" s="231">
        <f>SUM(H8:H8)</f>
        <v>0</v>
      </c>
      <c r="I7" s="231">
        <f>SUM(I8:I8)</f>
        <v>0</v>
      </c>
      <c r="J7" s="233">
        <f>C7-SUM(D7:I7)</f>
        <v>14000</v>
      </c>
      <c r="K7" s="234">
        <f>SUM(D7:I7)</f>
        <v>0</v>
      </c>
      <c r="L7" s="206">
        <f>C7-K7</f>
        <v>14000</v>
      </c>
      <c r="M7" s="236">
        <f>SUM(M8:M8)</f>
        <v>0</v>
      </c>
      <c r="N7" s="236">
        <f>SUM(N8:N8)</f>
        <v>0</v>
      </c>
      <c r="O7" s="236">
        <f>SUM(O8:O8)</f>
        <v>0</v>
      </c>
      <c r="P7" s="236">
        <f>SUM(P8:P8)</f>
        <v>0</v>
      </c>
      <c r="Q7" s="236">
        <f>SUM(Q8:Q8)</f>
        <v>0</v>
      </c>
      <c r="R7" s="236">
        <f>SUM(R8:R8)</f>
        <v>0</v>
      </c>
      <c r="S7" s="238">
        <f>L7-SUM(M7:R7)</f>
        <v>14000</v>
      </c>
      <c r="T7" s="239">
        <f>SUM(M7:R7)</f>
        <v>0</v>
      </c>
      <c r="U7" s="206">
        <f>L7-T7</f>
        <v>14000</v>
      </c>
      <c r="V7" s="231">
        <f>SUM(V8:V8)</f>
        <v>0</v>
      </c>
      <c r="W7" s="231">
        <f>SUM(W8:W8)</f>
        <v>0</v>
      </c>
      <c r="X7" s="231">
        <f>SUM(X8:X8)</f>
        <v>14000</v>
      </c>
      <c r="Y7" s="231">
        <f>SUM(Y8:Y8)</f>
        <v>0</v>
      </c>
      <c r="Z7" s="231">
        <f>SUM(Z8:Z8)</f>
        <v>0</v>
      </c>
      <c r="AA7" s="231">
        <f>SUM(AA8:AA8)</f>
        <v>0</v>
      </c>
      <c r="AB7" s="233">
        <f>U7-SUM(V7:AA7)</f>
        <v>0</v>
      </c>
      <c r="AC7" s="234">
        <f>SUM(V7:AA7)</f>
        <v>14000</v>
      </c>
      <c r="AD7" s="206">
        <f>U7-AC7</f>
        <v>0</v>
      </c>
      <c r="AE7" s="231">
        <f>SUM(AE8:AE8)</f>
        <v>0</v>
      </c>
      <c r="AF7" s="231">
        <f>SUM(AF8:AF8)</f>
        <v>0</v>
      </c>
      <c r="AG7" s="231">
        <f>SUM(AG8:AG8)</f>
        <v>0</v>
      </c>
      <c r="AH7" s="231">
        <f>SUM(AH8:AH8)</f>
        <v>0</v>
      </c>
      <c r="AI7" s="231">
        <f>SUM(AI8:AI8)</f>
        <v>0</v>
      </c>
      <c r="AJ7" s="231">
        <f>SUM(AJ8:AJ8)</f>
        <v>0</v>
      </c>
      <c r="AK7" s="231">
        <f>SUM(AK8:AK8)</f>
        <v>0</v>
      </c>
      <c r="AL7" s="231">
        <f>SUM(AL8:AL8)</f>
        <v>0</v>
      </c>
      <c r="AM7" s="233">
        <f>AD7-SUM(AE7:AL7)</f>
        <v>0</v>
      </c>
      <c r="AN7" s="233">
        <f>SUM(AE7:AK7)</f>
        <v>0</v>
      </c>
      <c r="AO7" s="232">
        <f>K7+T7+AC7+AN7</f>
        <v>14000</v>
      </c>
      <c r="AP7" s="235">
        <f>(K7+T7+AC7+AN7)/C7*100</f>
        <v>100</v>
      </c>
    </row>
    <row r="8" spans="1:42" ht="15">
      <c r="A8" s="240" t="s">
        <v>37</v>
      </c>
      <c r="B8" s="241">
        <v>342</v>
      </c>
      <c r="C8" s="242">
        <f>13400+600</f>
        <v>14000</v>
      </c>
      <c r="D8" s="231"/>
      <c r="E8" s="232"/>
      <c r="F8" s="232"/>
      <c r="G8" s="232"/>
      <c r="H8" s="232"/>
      <c r="I8" s="232"/>
      <c r="J8" s="233">
        <f>C8-SUM(D8:I8)</f>
        <v>14000</v>
      </c>
      <c r="K8" s="234">
        <f>SUM(D8:I8)</f>
        <v>0</v>
      </c>
      <c r="L8" s="206">
        <f>C8-K8</f>
        <v>14000</v>
      </c>
      <c r="M8" s="231"/>
      <c r="N8" s="232"/>
      <c r="O8" s="232"/>
      <c r="P8" s="232"/>
      <c r="Q8" s="232"/>
      <c r="R8" s="232"/>
      <c r="S8" s="233">
        <f>L8-SUM(M8:R8)</f>
        <v>14000</v>
      </c>
      <c r="T8" s="234">
        <f>SUM(M8:R8)</f>
        <v>0</v>
      </c>
      <c r="U8" s="206">
        <f>L8-T8</f>
        <v>14000</v>
      </c>
      <c r="V8" s="231"/>
      <c r="W8" s="232"/>
      <c r="X8" s="232">
        <v>14000</v>
      </c>
      <c r="Y8" s="232"/>
      <c r="Z8" s="232"/>
      <c r="AA8" s="232"/>
      <c r="AB8" s="233">
        <f>U8-SUM(V8:AA8)</f>
        <v>0</v>
      </c>
      <c r="AC8" s="234">
        <f>SUM(V8:AA8)</f>
        <v>14000</v>
      </c>
      <c r="AD8" s="206">
        <f>U8-AC8</f>
        <v>0</v>
      </c>
      <c r="AE8" s="231"/>
      <c r="AF8" s="232"/>
      <c r="AG8" s="232"/>
      <c r="AH8" s="232"/>
      <c r="AI8" s="232"/>
      <c r="AJ8" s="232"/>
      <c r="AK8" s="232"/>
      <c r="AL8" s="232"/>
      <c r="AM8" s="233">
        <f>AD8-SUM(AE8:AL8)</f>
        <v>0</v>
      </c>
      <c r="AN8" s="233">
        <f>SUM(AE8:AK8)</f>
        <v>0</v>
      </c>
      <c r="AO8" s="232">
        <f>K8+T8+AC8+AN8</f>
        <v>14000</v>
      </c>
      <c r="AP8" s="235">
        <f>(K8+T8+AC8+AN8)/C8*100</f>
        <v>100</v>
      </c>
    </row>
    <row r="9" spans="1:42" ht="75" customHeight="1">
      <c r="A9" s="322" t="s">
        <v>42</v>
      </c>
      <c r="B9" s="323"/>
      <c r="C9" s="221">
        <f>SUM(C10:C13)</f>
        <v>25582300</v>
      </c>
      <c r="D9" s="224">
        <f>SUM(D10:D13)</f>
        <v>0</v>
      </c>
      <c r="E9" s="224">
        <f>SUM(E10:E13)</f>
        <v>0</v>
      </c>
      <c r="F9" s="224">
        <f>SUM(F10:F13)</f>
        <v>0</v>
      </c>
      <c r="G9" s="224">
        <f>SUM(G10:G13)</f>
        <v>0</v>
      </c>
      <c r="H9" s="224">
        <f>SUM(H10:H13)</f>
        <v>0</v>
      </c>
      <c r="I9" s="224">
        <f>SUM(I10:I13)</f>
        <v>0</v>
      </c>
      <c r="J9" s="237">
        <f>SUM(J10:J13)</f>
        <v>25582300</v>
      </c>
      <c r="K9" s="243">
        <f>SUM(K10:K13)</f>
        <v>0</v>
      </c>
      <c r="L9" s="226">
        <f>SUM(L10:L13)</f>
        <v>25582300</v>
      </c>
      <c r="M9" s="224">
        <f>SUM(M10:M13)</f>
        <v>0</v>
      </c>
      <c r="N9" s="224">
        <f>SUM(N10:N13)</f>
        <v>0</v>
      </c>
      <c r="O9" s="224">
        <f>SUM(O10:O13)</f>
        <v>0</v>
      </c>
      <c r="P9" s="224">
        <f>SUM(P10:P13)</f>
        <v>0</v>
      </c>
      <c r="Q9" s="224">
        <f>SUM(Q10:Q13)</f>
        <v>0</v>
      </c>
      <c r="R9" s="224">
        <f>SUM(R10:R13)</f>
        <v>0</v>
      </c>
      <c r="S9" s="244">
        <f>SUM(S10:S13)</f>
        <v>25582300</v>
      </c>
      <c r="T9" s="243">
        <f>SUM(T10:T13)</f>
        <v>0</v>
      </c>
      <c r="U9" s="226">
        <f>SUM(U10:U13)</f>
        <v>25582300</v>
      </c>
      <c r="V9" s="222">
        <f>SUM(V10:V13)</f>
        <v>0</v>
      </c>
      <c r="W9" s="222">
        <f>SUM(W10:W13)</f>
        <v>0</v>
      </c>
      <c r="X9" s="222">
        <f>SUM(X10:X13)</f>
        <v>0</v>
      </c>
      <c r="Y9" s="222">
        <f>SUM(Y10:Y13)</f>
        <v>0</v>
      </c>
      <c r="Z9" s="222">
        <f>SUM(Z10:Z13)</f>
        <v>0</v>
      </c>
      <c r="AA9" s="222">
        <f>SUM(AA10:AA13)</f>
        <v>0</v>
      </c>
      <c r="AB9" s="227">
        <f>SUM(AB10:AB13)</f>
        <v>25582300</v>
      </c>
      <c r="AC9" s="225">
        <f>SUM(AC10:AC13)</f>
        <v>0</v>
      </c>
      <c r="AD9" s="226">
        <f>SUM(AD10:AD13)</f>
        <v>25582300</v>
      </c>
      <c r="AE9" s="222">
        <f>SUM(AE10:AE13)</f>
        <v>0</v>
      </c>
      <c r="AF9" s="222">
        <f>SUM(AF10:AF13)</f>
        <v>23375950.65</v>
      </c>
      <c r="AG9" s="222">
        <f>SUM(AG10:AG13)</f>
        <v>0</v>
      </c>
      <c r="AH9" s="222">
        <f>SUM(AH10:AH13)</f>
        <v>0</v>
      </c>
      <c r="AI9" s="222">
        <f>SUM(AI10:AI13)</f>
        <v>0</v>
      </c>
      <c r="AJ9" s="222">
        <f>SUM(AJ10:AJ13)</f>
        <v>0</v>
      </c>
      <c r="AK9" s="222">
        <f>SUM(AK10:AK13)</f>
        <v>0</v>
      </c>
      <c r="AL9" s="222">
        <f>SUM(AL10:AL13)</f>
        <v>0</v>
      </c>
      <c r="AM9" s="237">
        <f>SUM(AM10:AM13)</f>
        <v>2206349.3500000015</v>
      </c>
      <c r="AN9" s="237">
        <f>SUM(AN10:AN13)</f>
        <v>23375950.65</v>
      </c>
      <c r="AO9" s="227">
        <f>SUM(AO10:AO13)</f>
        <v>23375950.65</v>
      </c>
      <c r="AP9" s="228">
        <f>(K9+T9+AC9+AN9)/C9*100</f>
        <v>91.37548480785543</v>
      </c>
    </row>
    <row r="10" spans="1:42" ht="44.25">
      <c r="A10" s="229" t="s">
        <v>99</v>
      </c>
      <c r="B10" s="230">
        <v>225</v>
      </c>
      <c r="C10" s="205">
        <f>25500000+56700</f>
        <v>25556700</v>
      </c>
      <c r="D10" s="231"/>
      <c r="E10" s="232"/>
      <c r="F10" s="232"/>
      <c r="G10" s="232"/>
      <c r="H10" s="232"/>
      <c r="I10" s="232"/>
      <c r="J10" s="233">
        <f>C10-SUM(D10:I10)</f>
        <v>25556700</v>
      </c>
      <c r="K10" s="234">
        <f>SUM(D10:I10)</f>
        <v>0</v>
      </c>
      <c r="L10" s="206">
        <f>C10-K10</f>
        <v>25556700</v>
      </c>
      <c r="M10" s="231"/>
      <c r="N10" s="232"/>
      <c r="O10" s="232"/>
      <c r="P10" s="232"/>
      <c r="Q10" s="232"/>
      <c r="R10" s="232"/>
      <c r="S10" s="233">
        <f>L10-SUM(M10:R10)</f>
        <v>25556700</v>
      </c>
      <c r="T10" s="234">
        <f>SUM(M10:R10)</f>
        <v>0</v>
      </c>
      <c r="U10" s="206">
        <f>L10-T10</f>
        <v>25556700</v>
      </c>
      <c r="V10" s="231"/>
      <c r="W10" s="232"/>
      <c r="X10" s="232"/>
      <c r="Y10" s="232"/>
      <c r="Z10" s="232"/>
      <c r="AA10" s="232"/>
      <c r="AB10" s="233">
        <f>U10-SUM(V10:AA10)</f>
        <v>25556700</v>
      </c>
      <c r="AC10" s="234">
        <f>SUM(V10:AA10)</f>
        <v>0</v>
      </c>
      <c r="AD10" s="206">
        <f>U10-AC10</f>
        <v>25556700</v>
      </c>
      <c r="AE10" s="231"/>
      <c r="AF10" s="232">
        <v>23352574.7</v>
      </c>
      <c r="AG10" s="232"/>
      <c r="AH10" s="232"/>
      <c r="AI10" s="232"/>
      <c r="AJ10" s="232"/>
      <c r="AK10" s="232"/>
      <c r="AL10" s="232"/>
      <c r="AM10" s="233">
        <f>AD10-SUM(AE10:AL10)</f>
        <v>2204125.3000000007</v>
      </c>
      <c r="AN10" s="233">
        <f>SUM(AE10:AK10)</f>
        <v>23352574.7</v>
      </c>
      <c r="AO10" s="232">
        <f>K10+T10+AC10+AN10</f>
        <v>23352574.7</v>
      </c>
      <c r="AP10" s="235">
        <f>(K10+T10+AC10+AN10)/C10*100</f>
        <v>91.3755480950201</v>
      </c>
    </row>
    <row r="11" spans="1:42" ht="34.5" thickBot="1">
      <c r="A11" s="229" t="s">
        <v>100</v>
      </c>
      <c r="B11" s="230">
        <v>225</v>
      </c>
      <c r="C11" s="205">
        <f>726700-701100</f>
        <v>25600</v>
      </c>
      <c r="D11" s="231"/>
      <c r="E11" s="232"/>
      <c r="F11" s="232"/>
      <c r="G11" s="232"/>
      <c r="H11" s="232"/>
      <c r="I11" s="232"/>
      <c r="J11" s="233">
        <f>C11-SUM(D11:I11)</f>
        <v>25600</v>
      </c>
      <c r="K11" s="234">
        <f>SUM(D11:I11)</f>
        <v>0</v>
      </c>
      <c r="L11" s="206">
        <f>C11-K11</f>
        <v>25600</v>
      </c>
      <c r="M11" s="231"/>
      <c r="N11" s="232"/>
      <c r="O11" s="232"/>
      <c r="P11" s="232"/>
      <c r="Q11" s="232"/>
      <c r="R11" s="232"/>
      <c r="S11" s="233">
        <f>L11-SUM(M11:R11)</f>
        <v>25600</v>
      </c>
      <c r="T11" s="234">
        <f>SUM(M11:R11)</f>
        <v>0</v>
      </c>
      <c r="U11" s="206">
        <f>L11-T11</f>
        <v>25600</v>
      </c>
      <c r="V11" s="231"/>
      <c r="W11" s="232"/>
      <c r="X11" s="232"/>
      <c r="Y11" s="232"/>
      <c r="Z11" s="232"/>
      <c r="AA11" s="232"/>
      <c r="AB11" s="233">
        <f>U11-SUM(V11:AA11)</f>
        <v>25600</v>
      </c>
      <c r="AC11" s="234">
        <f>SUM(V11:AA11)</f>
        <v>0</v>
      </c>
      <c r="AD11" s="206">
        <f>U11-AC11</f>
        <v>25600</v>
      </c>
      <c r="AE11" s="231"/>
      <c r="AF11" s="232">
        <f>23375950.65-AF10</f>
        <v>23375.949999999255</v>
      </c>
      <c r="AG11" s="232"/>
      <c r="AH11" s="232"/>
      <c r="AI11" s="232"/>
      <c r="AJ11" s="232"/>
      <c r="AK11" s="232"/>
      <c r="AL11" s="232"/>
      <c r="AM11" s="233">
        <f>AD11-SUM(AE11:AL11)</f>
        <v>2224.050000000745</v>
      </c>
      <c r="AN11" s="233">
        <f>SUM(AE11:AK11)</f>
        <v>23375.949999999255</v>
      </c>
      <c r="AO11" s="232">
        <f>K11+T11+AC11+AN11</f>
        <v>23375.949999999255</v>
      </c>
      <c r="AP11" s="235">
        <f>(K11+T11+AC11+AN11)/C11*100</f>
        <v>91.31230468749709</v>
      </c>
    </row>
    <row r="12" spans="1:42" ht="36" customHeight="1" hidden="1" outlineLevel="1">
      <c r="A12" s="229" t="s">
        <v>97</v>
      </c>
      <c r="B12" s="230">
        <v>225</v>
      </c>
      <c r="C12" s="205"/>
      <c r="D12" s="231"/>
      <c r="E12" s="231"/>
      <c r="F12" s="231"/>
      <c r="G12" s="231"/>
      <c r="H12" s="231"/>
      <c r="I12" s="231"/>
      <c r="J12" s="233">
        <f>C12-SUM(D12:I12)</f>
        <v>0</v>
      </c>
      <c r="K12" s="234">
        <f>SUM(D12:I12)</f>
        <v>0</v>
      </c>
      <c r="L12" s="206">
        <f>C12-K12</f>
        <v>0</v>
      </c>
      <c r="M12" s="231"/>
      <c r="N12" s="232"/>
      <c r="O12" s="232"/>
      <c r="P12" s="232"/>
      <c r="Q12" s="232"/>
      <c r="R12" s="232"/>
      <c r="S12" s="233">
        <f>L12-SUM(M12:R12)</f>
        <v>0</v>
      </c>
      <c r="T12" s="234">
        <f>SUM(M12:R12)</f>
        <v>0</v>
      </c>
      <c r="U12" s="206">
        <f>L12-T12</f>
        <v>0</v>
      </c>
      <c r="V12" s="231"/>
      <c r="W12" s="232"/>
      <c r="X12" s="232"/>
      <c r="Y12" s="232"/>
      <c r="Z12" s="232"/>
      <c r="AA12" s="232"/>
      <c r="AB12" s="233">
        <f>U12-SUM(V12:AA12)</f>
        <v>0</v>
      </c>
      <c r="AC12" s="234">
        <f>SUM(V12:AA12)</f>
        <v>0</v>
      </c>
      <c r="AD12" s="206">
        <f>U12-AC12</f>
        <v>0</v>
      </c>
      <c r="AE12" s="231"/>
      <c r="AF12" s="232"/>
      <c r="AG12" s="232"/>
      <c r="AH12" s="232"/>
      <c r="AI12" s="232"/>
      <c r="AJ12" s="232"/>
      <c r="AK12" s="232"/>
      <c r="AL12" s="232"/>
      <c r="AM12" s="233">
        <f>AD12-SUM(AE12:AL12)</f>
        <v>0</v>
      </c>
      <c r="AN12" s="233">
        <f>SUM(AE12:AK12)</f>
        <v>0</v>
      </c>
      <c r="AO12" s="232">
        <f>K12+T12+AC12+AN12</f>
        <v>0</v>
      </c>
      <c r="AP12" s="235" t="e">
        <f>(K12+T12+AC12+AN12)/C12*100</f>
        <v>#DIV/0!</v>
      </c>
    </row>
    <row r="13" spans="1:42" ht="36" customHeight="1" hidden="1" outlineLevel="1">
      <c r="A13" s="229" t="s">
        <v>98</v>
      </c>
      <c r="B13" s="230">
        <v>225</v>
      </c>
      <c r="C13" s="205"/>
      <c r="D13" s="231"/>
      <c r="E13" s="231"/>
      <c r="F13" s="231"/>
      <c r="G13" s="231"/>
      <c r="H13" s="231"/>
      <c r="I13" s="231"/>
      <c r="J13" s="233">
        <f>C13-SUM(D13:I13)</f>
        <v>0</v>
      </c>
      <c r="K13" s="234">
        <f>SUM(D13:I13)</f>
        <v>0</v>
      </c>
      <c r="L13" s="206">
        <f>C13-K13</f>
        <v>0</v>
      </c>
      <c r="M13" s="231"/>
      <c r="N13" s="232"/>
      <c r="O13" s="232"/>
      <c r="P13" s="232"/>
      <c r="Q13" s="232"/>
      <c r="R13" s="232"/>
      <c r="S13" s="233">
        <f>L13-SUM(M13:R13)</f>
        <v>0</v>
      </c>
      <c r="T13" s="234">
        <f>SUM(M13:R13)</f>
        <v>0</v>
      </c>
      <c r="U13" s="206">
        <f>L13-T13</f>
        <v>0</v>
      </c>
      <c r="V13" s="231"/>
      <c r="W13" s="232"/>
      <c r="X13" s="232"/>
      <c r="Y13" s="232"/>
      <c r="Z13" s="232"/>
      <c r="AA13" s="232"/>
      <c r="AB13" s="233">
        <f>U13-SUM(V13:AA13)</f>
        <v>0</v>
      </c>
      <c r="AC13" s="234">
        <f>SUM(V13:AA13)</f>
        <v>0</v>
      </c>
      <c r="AD13" s="206">
        <f>U13-AC13</f>
        <v>0</v>
      </c>
      <c r="AE13" s="231"/>
      <c r="AF13" s="232"/>
      <c r="AG13" s="232"/>
      <c r="AH13" s="232"/>
      <c r="AI13" s="232"/>
      <c r="AJ13" s="232"/>
      <c r="AK13" s="232"/>
      <c r="AL13" s="232"/>
      <c r="AM13" s="233">
        <f>AD13-SUM(AE13:AL13)</f>
        <v>0</v>
      </c>
      <c r="AN13" s="233">
        <f>SUM(AE13:AK13)</f>
        <v>0</v>
      </c>
      <c r="AO13" s="232">
        <f>K13+T13+AC13+AN13</f>
        <v>0</v>
      </c>
      <c r="AP13" s="235" t="e">
        <f>(K13+T13+AC13+AN13)/C13*100</f>
        <v>#DIV/0!</v>
      </c>
    </row>
    <row r="14" spans="1:256" s="190" customFormat="1" ht="15" collapsed="1">
      <c r="A14" s="245"/>
      <c r="B14" s="245"/>
      <c r="C14" s="246"/>
      <c r="D14" s="245"/>
      <c r="E14" s="245"/>
      <c r="F14" s="245"/>
      <c r="G14" s="245"/>
      <c r="H14" s="245"/>
      <c r="I14" s="245"/>
      <c r="J14" s="247"/>
      <c r="K14" s="247"/>
      <c r="L14" s="248"/>
      <c r="M14" s="245"/>
      <c r="N14" s="245"/>
      <c r="O14" s="245"/>
      <c r="P14" s="245"/>
      <c r="Q14" s="245"/>
      <c r="R14" s="245"/>
      <c r="S14" s="247"/>
      <c r="T14" s="247"/>
      <c r="U14" s="248"/>
      <c r="V14" s="249"/>
      <c r="W14" s="245"/>
      <c r="X14" s="245"/>
      <c r="Y14" s="245"/>
      <c r="Z14" s="245"/>
      <c r="AA14" s="245"/>
      <c r="AB14" s="247"/>
      <c r="AC14" s="247"/>
      <c r="AD14" s="248"/>
      <c r="AE14" s="245"/>
      <c r="AF14" s="245"/>
      <c r="AG14" s="245"/>
      <c r="AH14" s="245"/>
      <c r="AI14" s="245"/>
      <c r="AJ14" s="245"/>
      <c r="AK14" s="245"/>
      <c r="AL14" s="245"/>
      <c r="AM14" s="247"/>
      <c r="AN14" s="247"/>
      <c r="AO14" s="245"/>
      <c r="AP14" s="245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0" customFormat="1" ht="15">
      <c r="A15" s="191"/>
      <c r="B15" s="305"/>
      <c r="C15" s="304"/>
      <c r="D15" s="191"/>
      <c r="E15" s="191"/>
      <c r="F15" s="191"/>
      <c r="G15" s="191"/>
      <c r="H15" s="191"/>
      <c r="I15" s="191"/>
      <c r="J15" s="251"/>
      <c r="K15" s="251"/>
      <c r="L15" s="207"/>
      <c r="M15" s="191"/>
      <c r="N15" s="191"/>
      <c r="O15" s="191"/>
      <c r="P15" s="191"/>
      <c r="Q15" s="191"/>
      <c r="R15" s="191"/>
      <c r="S15" s="251"/>
      <c r="T15" s="251"/>
      <c r="U15" s="207"/>
      <c r="V15" s="191"/>
      <c r="W15" s="191"/>
      <c r="X15" s="191"/>
      <c r="Y15" s="191"/>
      <c r="Z15" s="191"/>
      <c r="AA15" s="191"/>
      <c r="AB15" s="251"/>
      <c r="AC15" s="251"/>
      <c r="AD15" s="207"/>
      <c r="AE15" s="191"/>
      <c r="AF15" s="191"/>
      <c r="AG15" s="191"/>
      <c r="AH15" s="252"/>
      <c r="AI15" s="191"/>
      <c r="AJ15" s="191"/>
      <c r="AK15" s="191"/>
      <c r="AL15" s="191"/>
      <c r="AM15" s="251"/>
      <c r="AN15" s="251"/>
      <c r="AO15" s="191"/>
      <c r="AP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0" customFormat="1" ht="15">
      <c r="A16" s="191"/>
      <c r="B16" s="191"/>
      <c r="C16" s="253"/>
      <c r="D16" s="191"/>
      <c r="E16" s="191"/>
      <c r="F16" s="191"/>
      <c r="G16" s="191"/>
      <c r="H16" s="191"/>
      <c r="I16" s="191"/>
      <c r="J16" s="251"/>
      <c r="K16" s="251"/>
      <c r="L16" s="207"/>
      <c r="M16" s="191"/>
      <c r="N16" s="191"/>
      <c r="O16" s="191"/>
      <c r="P16" s="191"/>
      <c r="Q16" s="191"/>
      <c r="R16" s="254"/>
      <c r="S16" s="251"/>
      <c r="T16" s="251"/>
      <c r="U16" s="207"/>
      <c r="V16" s="191"/>
      <c r="W16" s="191"/>
      <c r="X16" s="191"/>
      <c r="Y16" s="191"/>
      <c r="Z16" s="191"/>
      <c r="AA16" s="191"/>
      <c r="AB16" s="251"/>
      <c r="AC16" s="251"/>
      <c r="AD16" s="207"/>
      <c r="AE16" s="191"/>
      <c r="AF16" s="191"/>
      <c r="AG16" s="255"/>
      <c r="AH16" s="191"/>
      <c r="AI16" s="191"/>
      <c r="AJ16" s="191"/>
      <c r="AK16" s="191"/>
      <c r="AL16" s="191"/>
      <c r="AM16" s="251"/>
      <c r="AN16" s="251"/>
      <c r="AO16" s="191"/>
      <c r="AP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0" customFormat="1" ht="15">
      <c r="A17" s="191"/>
      <c r="B17" s="191"/>
      <c r="C17" s="253"/>
      <c r="D17" s="191"/>
      <c r="E17" s="191"/>
      <c r="F17" s="191"/>
      <c r="G17" s="191"/>
      <c r="H17" s="191"/>
      <c r="I17" s="191"/>
      <c r="J17" s="251"/>
      <c r="K17" s="251"/>
      <c r="L17" s="207"/>
      <c r="M17" s="191"/>
      <c r="N17" s="191"/>
      <c r="O17" s="191"/>
      <c r="P17" s="255"/>
      <c r="Q17" s="191"/>
      <c r="R17" s="191"/>
      <c r="S17" s="251"/>
      <c r="T17" s="251"/>
      <c r="U17" s="207"/>
      <c r="V17" s="191"/>
      <c r="W17" s="191"/>
      <c r="X17" s="191"/>
      <c r="Y17" s="191"/>
      <c r="Z17" s="191"/>
      <c r="AA17" s="191"/>
      <c r="AB17" s="251"/>
      <c r="AC17" s="251"/>
      <c r="AD17" s="256"/>
      <c r="AE17" s="191"/>
      <c r="AF17" s="191"/>
      <c r="AG17" s="191"/>
      <c r="AH17" s="191"/>
      <c r="AI17" s="191"/>
      <c r="AJ17" s="191"/>
      <c r="AK17" s="191"/>
      <c r="AL17" s="191"/>
      <c r="AM17" s="251"/>
      <c r="AN17" s="251"/>
      <c r="AO17" s="191"/>
      <c r="AP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20" spans="1:256" s="190" customFormat="1" ht="12" customHeight="1">
      <c r="A20" s="191"/>
      <c r="B20" s="191"/>
      <c r="C20" s="250"/>
      <c r="D20" s="191"/>
      <c r="E20" s="191"/>
      <c r="F20" s="191"/>
      <c r="G20" s="191"/>
      <c r="H20" s="191"/>
      <c r="I20" s="191"/>
      <c r="J20" s="251"/>
      <c r="K20" s="251"/>
      <c r="L20" s="207"/>
      <c r="M20" s="191"/>
      <c r="N20" s="191"/>
      <c r="O20" s="191"/>
      <c r="P20" s="191"/>
      <c r="Q20" s="191"/>
      <c r="R20" s="191"/>
      <c r="S20" s="251"/>
      <c r="T20" s="251"/>
      <c r="U20" s="207"/>
      <c r="V20" s="191"/>
      <c r="W20" s="191"/>
      <c r="X20" s="191"/>
      <c r="Y20" s="191"/>
      <c r="Z20" s="191"/>
      <c r="AA20" s="191"/>
      <c r="AB20" s="251"/>
      <c r="AC20" s="251"/>
      <c r="AD20" s="207"/>
      <c r="AE20" s="191"/>
      <c r="AF20" s="191"/>
      <c r="AG20" s="191"/>
      <c r="AH20" s="191"/>
      <c r="AI20" s="191"/>
      <c r="AJ20" s="191"/>
      <c r="AK20" s="191"/>
      <c r="AL20" s="191"/>
      <c r="AM20" s="251"/>
      <c r="AN20" s="251"/>
      <c r="AO20" s="191"/>
      <c r="AP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3" spans="1:256" s="190" customFormat="1" ht="15">
      <c r="A23" s="191"/>
      <c r="B23" s="191"/>
      <c r="C23" s="250"/>
      <c r="D23" s="191"/>
      <c r="E23" s="191"/>
      <c r="F23" s="191"/>
      <c r="G23" s="191"/>
      <c r="H23" s="191"/>
      <c r="I23" s="191"/>
      <c r="J23" s="251"/>
      <c r="K23" s="251"/>
      <c r="L23" s="207"/>
      <c r="M23" s="191"/>
      <c r="N23" s="191"/>
      <c r="O23" s="191"/>
      <c r="P23" s="191"/>
      <c r="Q23" s="191"/>
      <c r="R23" s="191"/>
      <c r="S23" s="251"/>
      <c r="T23" s="251"/>
      <c r="U23" s="207"/>
      <c r="V23" s="191"/>
      <c r="W23" s="191"/>
      <c r="X23" s="191"/>
      <c r="Y23" s="191"/>
      <c r="Z23" s="191"/>
      <c r="AA23" s="191"/>
      <c r="AB23" s="251"/>
      <c r="AC23" s="251"/>
      <c r="AD23" s="207"/>
      <c r="AE23" s="191"/>
      <c r="AF23" s="191"/>
      <c r="AG23" s="191"/>
      <c r="AH23" s="191"/>
      <c r="AI23" s="191"/>
      <c r="AJ23" s="191"/>
      <c r="AK23" s="207"/>
      <c r="AL23" s="207"/>
      <c r="AM23" s="251"/>
      <c r="AN23" s="251"/>
      <c r="AO23" s="191"/>
      <c r="AP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  <c r="GR23" s="191"/>
      <c r="GS23" s="191"/>
      <c r="GT23" s="191"/>
      <c r="GU23" s="191"/>
      <c r="GV23" s="191"/>
      <c r="GW23" s="191"/>
      <c r="GX23" s="191"/>
      <c r="GY23" s="191"/>
      <c r="GZ23" s="191"/>
      <c r="HA23" s="191"/>
      <c r="HB23" s="191"/>
      <c r="HC23" s="191"/>
      <c r="HD23" s="191"/>
      <c r="HE23" s="191"/>
      <c r="HF23" s="191"/>
      <c r="HG23" s="191"/>
      <c r="HH23" s="191"/>
      <c r="HI23" s="191"/>
      <c r="HJ23" s="191"/>
      <c r="HK23" s="191"/>
      <c r="HL23" s="191"/>
      <c r="HM23" s="191"/>
      <c r="HN23" s="191"/>
      <c r="HO23" s="191"/>
      <c r="HP23" s="191"/>
      <c r="HQ23" s="191"/>
      <c r="HR23" s="191"/>
      <c r="HS23" s="191"/>
      <c r="HT23" s="191"/>
      <c r="HU23" s="191"/>
      <c r="HV23" s="191"/>
      <c r="HW23" s="191"/>
      <c r="HX23" s="191"/>
      <c r="HY23" s="191"/>
      <c r="HZ23" s="191"/>
      <c r="IA23" s="191"/>
      <c r="IB23" s="191"/>
      <c r="IC23" s="191"/>
      <c r="ID23" s="191"/>
      <c r="IE23" s="191"/>
      <c r="IF23" s="191"/>
      <c r="IG23" s="191"/>
      <c r="IH23" s="191"/>
      <c r="II23" s="191"/>
      <c r="IJ23" s="191"/>
      <c r="IK23" s="191"/>
      <c r="IL23" s="191"/>
      <c r="IM23" s="191"/>
      <c r="IN23" s="191"/>
      <c r="IO23" s="191"/>
      <c r="IP23" s="191"/>
      <c r="IQ23" s="191"/>
      <c r="IR23" s="191"/>
      <c r="IS23" s="191"/>
      <c r="IT23" s="191"/>
      <c r="IU23" s="191"/>
      <c r="IV23" s="191"/>
    </row>
    <row r="24" ht="15">
      <c r="C24" s="304"/>
    </row>
    <row r="637" ht="15">
      <c r="AL637" s="191">
        <f>AK637*AC637*1.18-0.01</f>
        <v>-0.01</v>
      </c>
    </row>
  </sheetData>
  <sheetProtection/>
  <mergeCells count="3">
    <mergeCell ref="A3:B3"/>
    <mergeCell ref="A4:B4"/>
    <mergeCell ref="A9:B9"/>
  </mergeCells>
  <printOptions/>
  <pageMargins left="0.31496062992125984" right="0.15748031496062992" top="0.35433070866141736" bottom="0.35433070866141736" header="0.31496062992125984" footer="0.31496062992125984"/>
  <pageSetup fitToHeight="4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2021-09-14T11:50:15Z</dcterms:modified>
  <cp:category/>
  <cp:version/>
  <cp:contentType/>
  <cp:contentStatus/>
</cp:coreProperties>
</file>